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0" yWindow="580" windowWidth="26460" windowHeight="16620" activeTab="0"/>
  </bookViews>
  <sheets>
    <sheet name="Proforma 2" sheetId="1" r:id="rId1"/>
    <sheet name="Soft Costs 2" sheetId="2" r:id="rId2"/>
    <sheet name="Loan Amortization Schedule _2_" sheetId="3" r:id="rId3"/>
  </sheets>
  <definedNames>
    <definedName name="Beg_Bal_3">'Loan Amortization Schedule _2_'!$C$18:$C$377</definedName>
    <definedName name="Cum_Int_3">'Loan Amortization Schedule _2_'!$J$18:$J$377</definedName>
    <definedName name="Data_3">'Loan Amortization Schedule _2_'!$A$18:$J$377</definedName>
    <definedName name="End_Bal">#REF!</definedName>
    <definedName name="End_Bal_3">'Loan Amortization Schedule _2_'!$I$18:$I$377</definedName>
    <definedName name="Excel_BuiltIn_Print_Titles_3">'Loan Amortization Schedule _2_'!$14:$17</definedName>
    <definedName name="Extra_Pay_3">'Loan Amortization Schedule _2_'!$E$18:$E$377</definedName>
    <definedName name="Full_Print">#REF!</definedName>
    <definedName name="Full_Print_3">'Loan Amortization Schedule _2_'!$A$1:$J$377</definedName>
    <definedName name="Header_Row">ROW(#REF!)</definedName>
    <definedName name="Header_Row_3">ROW('Loan Amortization Schedule _2_'!$17:$17)</definedName>
    <definedName name="Int_3">'Loan Amortization Schedule _2_'!$H$18:$H$377</definedName>
    <definedName name="Interest_Rate">#REF!</definedName>
    <definedName name="Interest_Rate_3">'Loan Amortization Schedule _2_'!$D$6</definedName>
    <definedName name="Last_Row">IF(Values_Entered,Header_Row+Number_of_Payments,Header_Row)</definedName>
    <definedName name="Last_Row_3">IF(Values_Entered_3,Header_Row_3+Number_of_Payments_3,Header_Row_3)</definedName>
    <definedName name="Loan_Amount">#REF!</definedName>
    <definedName name="Loan_Amount_3">'Loan Amortization Schedule _2_'!$D$5</definedName>
    <definedName name="Loan_Start">#REF!</definedName>
    <definedName name="Loan_Start_3">'Loan Amortization Schedule _2_'!$D$9</definedName>
    <definedName name="Loan_Years">#REF!</definedName>
    <definedName name="Loan_Years_3">'Loan Amortization Schedule _2_'!$D$7</definedName>
    <definedName name="Num_Pmt_Per_Year_3">'Loan Amortization Schedule _2_'!$D$8</definedName>
    <definedName name="Number_of_Payments">MATCH(0.01,End_Bal,-1)+1</definedName>
    <definedName name="Number_of_Payments_3">MATCH(0.01,End_Bal_3,-1)+1</definedName>
    <definedName name="Pay_Date_3">'Loan Amortization Schedule _2_'!$B$18:$B$377</definedName>
    <definedName name="Pay_Num_3">'Loan Amortization Schedule _2_'!$A$18:$A$377</definedName>
    <definedName name="Payment_Date">NA()</definedName>
    <definedName name="Payment_Date_3">NA()</definedName>
    <definedName name="Princ_3">'Loan Amortization Schedule _2_'!$G$18:$G$377</definedName>
    <definedName name="Print_Area_Reset">OFFSET(Full_Print,0,0,Last_Row)</definedName>
    <definedName name="Print_Area_Reset_3">OFFSET(Full_Print_3,0,0,Last_Row_3)</definedName>
    <definedName name="Sched_Pay_3">'Loan Amortization Schedule _2_'!$D$18:$D$377</definedName>
    <definedName name="Scheduled_Extra_Payments_3">'Loan Amortization Schedule _2_'!$D$10</definedName>
    <definedName name="Scheduled_Interest_Rate_3">'Loan Amortization Schedule _2_'!$D$6</definedName>
    <definedName name="Scheduled_Monthly_Payment_3">'Loan Amortization Schedule _2_'!$H$5</definedName>
    <definedName name="Total_Interest_3">'Loan Amortization Schedule _2_'!$H$9</definedName>
    <definedName name="Total_Pay_3">'Loan Amortization Schedule _2_'!$F$18:$F$377</definedName>
    <definedName name="Total_Payment">NA()</definedName>
    <definedName name="Total_Payment_3">NA()</definedName>
    <definedName name="Values_Entered">IF(Loan_Amount*Interest_Rate*Loan_Years*Loan_Start&gt;0,1,0)</definedName>
    <definedName name="Values_Entered_3">IF(Loan_Amount_3*Interest_Rate_3*Loan_Years_3*Loan_Start_3&gt;0,1,0)</definedName>
  </definedNames>
  <calcPr fullCalcOnLoad="1" iterate="1" iterateCount="100" iterateDelta="0.001"/>
</workbook>
</file>

<file path=xl/sharedStrings.xml><?xml version="1.0" encoding="utf-8"?>
<sst xmlns="http://schemas.openxmlformats.org/spreadsheetml/2006/main" count="349" uniqueCount="275">
  <si>
    <t>PROJECT FACTS:</t>
  </si>
  <si>
    <t>CONSTRUCTION + 3 yr MINI-PERM LOAN</t>
  </si>
  <si>
    <t>Site Area</t>
  </si>
  <si>
    <t>Interest Rate</t>
  </si>
  <si>
    <t>Number of stories</t>
  </si>
  <si>
    <t>Term (Months)</t>
  </si>
  <si>
    <t>Office</t>
  </si>
  <si>
    <t>Creative Office</t>
  </si>
  <si>
    <t>Construction/Mini-Perm Loan</t>
  </si>
  <si>
    <t>Retail</t>
  </si>
  <si>
    <t>Project Value</t>
  </si>
  <si>
    <t>Loan-to-Value</t>
  </si>
  <si>
    <t>Parking</t>
  </si>
  <si>
    <t>Loan-to-Cost</t>
  </si>
  <si>
    <t>Combined LTV</t>
  </si>
  <si>
    <t>Drawdown</t>
  </si>
  <si>
    <t>Number of Office Tenants</t>
  </si>
  <si>
    <t>Number of Retail Units</t>
  </si>
  <si>
    <t>Personal Guarantee Cost</t>
  </si>
  <si>
    <t>Total Tenants</t>
  </si>
  <si>
    <t>GROSS BUILDING AREA</t>
  </si>
  <si>
    <t>per plans</t>
  </si>
  <si>
    <t>Annual Construction Loan Debt Service</t>
  </si>
  <si>
    <t>TOTAL NET LEASABLE</t>
  </si>
  <si>
    <t>Overall Efficiency</t>
  </si>
  <si>
    <t>Office Rent/sq.ft.</t>
  </si>
  <si>
    <t>NNN</t>
  </si>
  <si>
    <t>DCR</t>
  </si>
  <si>
    <t>LTV</t>
  </si>
  <si>
    <t>Loan Amount</t>
  </si>
  <si>
    <t>Retail Rent/sq.ft.</t>
  </si>
  <si>
    <t>Term (Years)</t>
  </si>
  <si>
    <t>Debt-Coverage Ratio</t>
  </si>
  <si>
    <t>Value per Net Square Foot</t>
  </si>
  <si>
    <t>per month</t>
  </si>
  <si>
    <t>Stabilized NOI</t>
  </si>
  <si>
    <t>CAP Rate</t>
  </si>
  <si>
    <t>Misc Income</t>
  </si>
  <si>
    <t>Supportable Mortgage</t>
  </si>
  <si>
    <t>Supportable Debt Service</t>
  </si>
  <si>
    <t>Land Price</t>
  </si>
  <si>
    <t>CASH FLOW CALCULATION (YR 1)</t>
  </si>
  <si>
    <t>TOTAL DEVELOPMENT COSTS</t>
  </si>
  <si>
    <t>PROJECT COSTS</t>
  </si>
  <si>
    <t>(-) Development Fee Equity</t>
  </si>
  <si>
    <t xml:space="preserve">sq.ft. </t>
  </si>
  <si>
    <t>(-) Leasing Equity</t>
  </si>
  <si>
    <t>(-) Permanent Financing</t>
  </si>
  <si>
    <t xml:space="preserve">sq. ft. </t>
  </si>
  <si>
    <t>of hd costs</t>
  </si>
  <si>
    <t>EQUITY REQUIRED</t>
  </si>
  <si>
    <t>Pre-Dev Consultants</t>
  </si>
  <si>
    <t>NET OPERATING INCOME</t>
  </si>
  <si>
    <t>Architecture &amp; Engineering</t>
  </si>
  <si>
    <t>(-) MORTGAGE</t>
  </si>
  <si>
    <t>Development Fees</t>
  </si>
  <si>
    <t>of value</t>
  </si>
  <si>
    <t>Permit Fees</t>
  </si>
  <si>
    <t>NET CASH FLOW</t>
  </si>
  <si>
    <t>Legal &amp; Accounting</t>
  </si>
  <si>
    <t xml:space="preserve">Construction Financing &amp; Carrying </t>
  </si>
  <si>
    <t>Permanent Financing</t>
  </si>
  <si>
    <t>Leasing</t>
  </si>
  <si>
    <t>OWNERSHIP/RETURNS</t>
  </si>
  <si>
    <t>Total Soft Costs</t>
  </si>
  <si>
    <t>YR 2</t>
  </si>
  <si>
    <t>YR 3</t>
  </si>
  <si>
    <t>YR 4</t>
  </si>
  <si>
    <t>YR 5</t>
  </si>
  <si>
    <t>YR 6</t>
  </si>
  <si>
    <t>YR 7</t>
  </si>
  <si>
    <t>YR 8</t>
  </si>
  <si>
    <t>YR 9</t>
  </si>
  <si>
    <t>TOTAL PROJECT COST</t>
  </si>
  <si>
    <t>sq.ft.</t>
  </si>
  <si>
    <t>OPERATING PRO FORMA (PER YEAR)</t>
  </si>
  <si>
    <t>Gross Retail Income</t>
  </si>
  <si>
    <t>Gross Income</t>
  </si>
  <si>
    <t>Revenue (3% escalator)</t>
  </si>
  <si>
    <t>(-) Vacancy – Commercial</t>
  </si>
  <si>
    <t>Expenses (3% escalator)</t>
  </si>
  <si>
    <t>(-) Fire Insurance – Commercial</t>
  </si>
  <si>
    <t>NOI</t>
  </si>
  <si>
    <t>(-) Taxes</t>
  </si>
  <si>
    <t>Debt Service (+ Reserve)</t>
  </si>
  <si>
    <t>(-) Water/Sewer/Trash/Utilities</t>
  </si>
  <si>
    <t>(-) Lighting/Art</t>
  </si>
  <si>
    <t>Combined DCR</t>
  </si>
  <si>
    <t>(-) Repairs &amp; Maintenance</t>
  </si>
  <si>
    <t>Non-Replacement Reserve</t>
  </si>
  <si>
    <t>PROJECT APPRECIATION at 3%</t>
  </si>
  <si>
    <t>(-) Commercial Management</t>
  </si>
  <si>
    <t>LOAN BALANCE</t>
  </si>
  <si>
    <t>Total Expenses</t>
  </si>
  <si>
    <t>TOTAL EQUITY</t>
  </si>
  <si>
    <t>...per unit</t>
  </si>
  <si>
    <t>…per sq. ft.</t>
  </si>
  <si>
    <t>Land Value:</t>
  </si>
  <si>
    <t>SQ. FT.</t>
  </si>
  <si>
    <t>Construction Costs:</t>
  </si>
  <si>
    <t>sq. ft.</t>
  </si>
  <si>
    <t>Construction Costs (parking cost)</t>
  </si>
  <si>
    <t>Included</t>
  </si>
  <si>
    <t>Common Site Costs</t>
  </si>
  <si>
    <t>Street Improvements</t>
  </si>
  <si>
    <t>Furniture Fixtures &amp; Equipment</t>
  </si>
  <si>
    <t>Not Incl.</t>
  </si>
  <si>
    <t>Tenant Improvements</t>
  </si>
  <si>
    <t>Contingency/Design &amp; Inflation</t>
  </si>
  <si>
    <t>Hard Cost Total</t>
  </si>
  <si>
    <t>Subtotal</t>
  </si>
  <si>
    <t>Pre-Development Consultants:</t>
  </si>
  <si>
    <t>Architecture/Engineering Studies</t>
  </si>
  <si>
    <t>of hard costs</t>
  </si>
  <si>
    <t>Project Management</t>
  </si>
  <si>
    <t>Site Survey</t>
  </si>
  <si>
    <t>Appraisal</t>
  </si>
  <si>
    <t>Geotechnical Report</t>
  </si>
  <si>
    <t>Environmental Studies</t>
  </si>
  <si>
    <t>Traffic Study</t>
  </si>
  <si>
    <t>Other</t>
  </si>
  <si>
    <t>Total</t>
  </si>
  <si>
    <t>Architecture &amp; Engineering Fees:</t>
  </si>
  <si>
    <t>Architecture/Engineering Services*</t>
  </si>
  <si>
    <t>Construction Phase Services</t>
  </si>
  <si>
    <t>Incl.</t>
  </si>
  <si>
    <t>Geotechnical Consultant</t>
  </si>
  <si>
    <t>LEED Consultants</t>
  </si>
  <si>
    <t>Construction Testing &amp; Inspection</t>
  </si>
  <si>
    <t>Consultant Reimbursables</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</si>
  <si>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</si>
  <si>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</si>
  <si>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</si>
  <si>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</si>
  <si>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</si>
  <si>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</si>
  <si>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Title Insurance, Closing and Recording</t>
  </si>
  <si>
    <t>Miscellaneous Costs</t>
  </si>
  <si>
    <t>N/A</t>
  </si>
  <si>
    <t>Permit Fees and System Charges:</t>
  </si>
  <si>
    <t>Building Permits</t>
  </si>
  <si>
    <t>of construction costs</t>
  </si>
  <si>
    <t>Public Improvement Permits</t>
  </si>
  <si>
    <t>Land Use Approvals</t>
  </si>
  <si>
    <t>Water Connections</t>
  </si>
  <si>
    <t>existing</t>
  </si>
  <si>
    <t>units</t>
  </si>
  <si>
    <t>Per Meter</t>
  </si>
  <si>
    <t>Storm Water</t>
  </si>
  <si>
    <t>per single family unit</t>
  </si>
  <si>
    <t>Per commercial unit</t>
  </si>
  <si>
    <t xml:space="preserve">new unit </t>
  </si>
  <si>
    <t>Systems Development Fee-Water</t>
  </si>
  <si>
    <t>Systems Development Fee-Sewer</t>
  </si>
  <si>
    <t>http://www.portlandtransportation.org/SystemDevelopmentCharge/Rates.htm</t>
  </si>
  <si>
    <t>PBOT SDC Fees</t>
  </si>
  <si>
    <t>per single sq.ft.</t>
  </si>
  <si>
    <t>varies</t>
  </si>
  <si>
    <t>http://www.portlandparks.org/Planning/SystemDevCharge.htm</t>
  </si>
  <si>
    <t>Parks SDC - Residential Only</t>
  </si>
  <si>
    <t>per unit</t>
  </si>
  <si>
    <t>Street Trees</t>
  </si>
  <si>
    <t xml:space="preserve">Pay into fund </t>
  </si>
  <si>
    <t>Contingency for Fee Increases</t>
  </si>
  <si>
    <t>Legal &amp; Accounting Fees:</t>
  </si>
  <si>
    <t>Development Agreements</t>
  </si>
  <si>
    <t>Leases</t>
  </si>
  <si>
    <t>Misc. Legal</t>
  </si>
  <si>
    <t>1031 Reverse Exchange</t>
  </si>
  <si>
    <t>Outside of this transaction</t>
  </si>
  <si>
    <t>Construction Financing &amp; Carrying Costs:</t>
  </si>
  <si>
    <t>Loan Fee</t>
  </si>
  <si>
    <t>of construction loan</t>
  </si>
  <si>
    <t>Construction Period Interest</t>
  </si>
  <si>
    <t>Lender's Monitoring Costs</t>
  </si>
  <si>
    <t>http://www.portlandmaps.com/</t>
  </si>
  <si>
    <t>Development Period Property Taxes</t>
  </si>
  <si>
    <t>Permanent Financing Fees &amp; Costs:</t>
  </si>
  <si>
    <t>Loan Fees</t>
  </si>
  <si>
    <t>Lender's Costs</t>
  </si>
  <si>
    <t>Operating Reserve</t>
  </si>
  <si>
    <t>Leasing/Promotional Costs:</t>
  </si>
  <si>
    <t>Leasing Brochures</t>
  </si>
  <si>
    <t>For Sale Product Commissions</t>
  </si>
  <si>
    <t>Advertising &amp; Marketing</t>
  </si>
  <si>
    <t>Openings/Events</t>
  </si>
  <si>
    <t>Pre-Leasing Costs</t>
  </si>
  <si>
    <t>Leasing Salaries/Commissions</t>
  </si>
  <si>
    <t>Model Apts/Leasing Office Expenses</t>
  </si>
  <si>
    <t>Soft Cost Total</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</si>
  <si>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</si>
  <si>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</si>
  <si>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</si>
  <si>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</si>
  <si>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</si>
  <si>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</si>
  <si>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</si>
  <si>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</si>
  <si>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</si>
  <si>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</si>
  <si>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</si>
  <si>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</si>
  <si>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</si>
  <si>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</si>
  <si>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</si>
  <si>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</si>
  <si>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</si>
  <si>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</si>
  <si>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</si>
  <si>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</si>
  <si>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</si>
  <si>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</si>
  <si>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</si>
  <si>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</si>
  <si>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</si>
  <si>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</si>
  <si>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</si>
  <si>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</si>
  <si>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NOTE  -  THIS PROFORMA PREPARED BY MANAGER DOES NOT TAKE INTO ACCOUNT OR MAKE ANY PROVISION FOR ANY CHANGE IN LOCAL OR GENERAL ECONOMIC CONDITIONS, OR INCREASES IN REDEVELOPMENT COSTS OR THE AFFECTS OF ANY DELAYS IN COMMENCING</t>
  </si>
  <si>
    <t>Harder Steel/Parking Lift Costs</t>
  </si>
  <si>
    <t>preferred</t>
  </si>
  <si>
    <t>Gross Office Income</t>
  </si>
  <si>
    <t>NET REFINANCE/SALES PROCEEDS</t>
  </si>
  <si>
    <t xml:space="preserve">PERMANENT FINANCING ASSUMPTIONS </t>
  </si>
  <si>
    <t>Fundrise Fee</t>
  </si>
  <si>
    <t>of monies raised</t>
  </si>
  <si>
    <t>10 yr IRR</t>
  </si>
  <si>
    <t>Cash Reserve in Bank-Controlled Acct.</t>
  </si>
  <si>
    <t>INTEREST GAINED ON RESERVES</t>
  </si>
  <si>
    <t>(-) Land Equity</t>
  </si>
  <si>
    <t>YR 10</t>
  </si>
  <si>
    <t>Guarantee Fee</t>
  </si>
  <si>
    <t>Pre-Dev Interest</t>
  </si>
  <si>
    <t>T.I. Budget</t>
  </si>
  <si>
    <t>Common Area (Load)</t>
  </si>
  <si>
    <t>Load Rent/sq.ft.</t>
  </si>
  <si>
    <t>Gross Load Income</t>
  </si>
  <si>
    <t>Gross Adjustment per Appraisal</t>
  </si>
  <si>
    <t>(-) Adjustment per Appraisal</t>
  </si>
  <si>
    <t>3rd Party Owner's Representative</t>
  </si>
  <si>
    <t>Randy Boehm</t>
  </si>
  <si>
    <t>(-) Replacement Reserves/Ext. Paint</t>
  </si>
  <si>
    <t>YR 1</t>
  </si>
  <si>
    <t>included in GD equity</t>
  </si>
  <si>
    <t>None</t>
  </si>
  <si>
    <t>Skin &amp; Roof Paint</t>
  </si>
  <si>
    <t>Hard Costs (includes 3% contingency)</t>
  </si>
  <si>
    <t xml:space="preserve">Owner Contingency </t>
  </si>
  <si>
    <t>Construction Costs (new Construction - includes builder contingency)</t>
  </si>
  <si>
    <t>Owner Contingency</t>
  </si>
  <si>
    <t>Artist Fee/Artwork</t>
  </si>
  <si>
    <t>Art &amp; Construction Estimating</t>
  </si>
  <si>
    <t>Reg. A Development Costs</t>
  </si>
  <si>
    <t>To Anderson</t>
  </si>
  <si>
    <t>Pre-Dev Interest - M&amp;T Bridge loan</t>
  </si>
  <si>
    <t>Artist Fee/Art Work</t>
  </si>
  <si>
    <t>120000 - Dinsmore, 5,000 Blue Sky, 5,000 Brad Miller, 4,500 Auditor, 8,000 Anna, 15,000 Crowdstreet</t>
  </si>
  <si>
    <t>(-) Class B Equity</t>
  </si>
  <si>
    <t>(-) Class C Equity</t>
  </si>
  <si>
    <t>Is permit cost going up $50,000</t>
  </si>
  <si>
    <t xml:space="preserve">Land </t>
  </si>
  <si>
    <t>Paint - Ext skin and roof</t>
  </si>
  <si>
    <t>(-) Artist Sweat Equity (if needed)</t>
  </si>
  <si>
    <t>Annual Class B Debt Service</t>
  </si>
  <si>
    <t>REFINANCE</t>
  </si>
  <si>
    <t>Fair-Haired Dumbbell, $9.85M Hard Costs</t>
  </si>
  <si>
    <t>CLASS C (PREFERRED)</t>
  </si>
  <si>
    <t>CLASS A</t>
  </si>
  <si>
    <t>CLASS B - GC Fee</t>
  </si>
  <si>
    <t>General Contractor</t>
  </si>
  <si>
    <t>CLASS B</t>
  </si>
  <si>
    <t>Class B Investors</t>
  </si>
  <si>
    <t>Guerrilla Development</t>
  </si>
  <si>
    <t>Annual Class C Units Debt Service</t>
  </si>
  <si>
    <t xml:space="preserve">Class C Investors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</si>
</sst>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quot;, &quot;yyyy"/>
    <numFmt numFmtId="165" formatCode="_(* #,##0_);_(* \(#,##0\);_(* \-??_);_(@_)"/>
    <numFmt numFmtId="166" formatCode="\$#,##0"/>
    <numFmt numFmtId="167" formatCode="\$#,##0_);[Red]&quot;($&quot;#,##0\)"/>
    <numFmt numFmtId="168" formatCode="[$$-409]#,##0;[Red]\-[$$-409]#,##0"/>
    <numFmt numFmtId="169" formatCode="0.0%"/>
    <numFmt numFmtId="170" formatCode="0.00_);[Red]\(0.00\)"/>
    <numFmt numFmtId="171" formatCode="_(\$* #,##0.00_);_(\$* \(#,##0.00\);_(\$* \-??_);_(@_)"/>
    <numFmt numFmtId="172" formatCode="#,##0.0"/>
    <numFmt numFmtId="173" formatCode="0.000%"/>
    <numFmt numFmtId="174" formatCode="_(\$* #,##0_);_(\$* \(#,##0\);_(\$* \-??_);_(@_)"/>
    <numFmt numFmtId="175" formatCode="_(* #,##0.00_);_(* \(#,##0.00\);_(* \-??_);_(@_)"/>
    <numFmt numFmtId="176" formatCode="\$#,##0_);&quot;($&quot;#,##0\)"/>
    <numFmt numFmtId="177" formatCode="_(\$* #,##0_);_(\$* \(#,##0\);_(\$* \-_);_(@_)"/>
    <numFmt numFmtId="178" formatCode="\$#,##0.00_);[Red]&quot;($&quot;#,##0.00\)"/>
    <numFmt numFmtId="179" formatCode="#,##0.00000_);[Red]\(#,##0.00000\)"/>
    <numFmt numFmtId="180" formatCode="0.00_);\(0.00\)"/>
    <numFmt numFmtId="181" formatCode="#,##0.00;[Red]\-#,##0.00"/>
    <numFmt numFmtId="182" formatCode="mmmm\ d&quot;, &quot;yyyy;@"/>
    <numFmt numFmtId="183" formatCode="_(\$* #,##0.0000_);_(\$* \(#,##0.0000\);_(\$* \-??_);_(@_)"/>
    <numFmt numFmtId="184" formatCode="0.00?%_)"/>
    <numFmt numFmtId="185" formatCode="0_)"/>
    <numFmt numFmtId="186" formatCode="_(\$* #,##0.0_);_(\$* \(#,##0.0\);_(\$* \-??_);_(@_)"/>
    <numFmt numFmtId="187" formatCode="_(* #,##0_);_(* \(#,##0\);_(* &quot;-&quot;??_);_(@_)"/>
  </numFmts>
  <fonts count="57">
    <font>
      <sz val="10"/>
      <name val="Arial"/>
      <family val="2"/>
    </font>
    <font>
      <sz val="11"/>
      <color indexed="8"/>
      <name val="Calibri"/>
      <family val="2"/>
    </font>
    <font>
      <sz val="10"/>
      <name val="Geneva"/>
      <family val="2"/>
    </font>
    <font>
      <b/>
      <sz val="14"/>
      <color indexed="10"/>
      <name val="Arial"/>
      <family val="2"/>
    </font>
    <font>
      <b/>
      <sz val="14"/>
      <color indexed="8"/>
      <name val="Arial"/>
      <family val="2"/>
    </font>
    <font>
      <b/>
      <sz val="10"/>
      <color indexed="8"/>
      <name val="Arial"/>
      <family val="2"/>
    </font>
    <font>
      <b/>
      <sz val="10"/>
      <name val="Arial"/>
      <family val="2"/>
    </font>
    <font>
      <b/>
      <sz val="12"/>
      <name val="Arial"/>
      <family val="2"/>
    </font>
    <font>
      <b/>
      <sz val="10"/>
      <color indexed="53"/>
      <name val="Arial"/>
      <family val="2"/>
    </font>
    <font>
      <b/>
      <sz val="10"/>
      <color indexed="12"/>
      <name val="Arial"/>
      <family val="2"/>
    </font>
    <font>
      <sz val="10"/>
      <color indexed="10"/>
      <name val="Arial"/>
      <family val="2"/>
    </font>
    <font>
      <b/>
      <u val="single"/>
      <sz val="10"/>
      <name val="Arial"/>
      <family val="2"/>
    </font>
    <font>
      <b/>
      <sz val="11"/>
      <name val="Arial"/>
      <family val="2"/>
    </font>
    <font>
      <sz val="8"/>
      <name val="Arial"/>
      <family val="2"/>
    </font>
    <font>
      <u val="single"/>
      <sz val="10"/>
      <color indexed="12"/>
      <name val="Arial"/>
      <family val="2"/>
    </font>
    <font>
      <sz val="10"/>
      <color indexed="12"/>
      <name val="Arial"/>
      <family val="2"/>
    </font>
    <font>
      <b/>
      <sz val="18"/>
      <name val="Century Gothic"/>
      <family val="2"/>
    </font>
    <font>
      <sz val="10"/>
      <name val="Century Gothic"/>
      <family val="2"/>
    </font>
    <font>
      <b/>
      <sz val="10"/>
      <name val="Century Gothic"/>
      <family val="2"/>
    </font>
    <font>
      <sz val="9"/>
      <name val="Century Gothic"/>
      <family val="2"/>
    </font>
    <font>
      <sz val="10"/>
      <color indexed="23"/>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22222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color indexed="63"/>
      </left>
      <right>
        <color indexed="63"/>
      </right>
      <top>
        <color indexed="63"/>
      </top>
      <bottom style="hair">
        <color indexed="16"/>
      </bottom>
    </border>
    <border>
      <left style="hair">
        <color indexed="16"/>
      </left>
      <right>
        <color indexed="63"/>
      </right>
      <top>
        <color indexed="63"/>
      </top>
      <bottom>
        <color indexed="63"/>
      </bottom>
    </border>
    <border>
      <left style="hair">
        <color indexed="16"/>
      </left>
      <right style="hair">
        <color indexed="16"/>
      </right>
      <top>
        <color indexed="63"/>
      </top>
      <bottom style="hair">
        <color indexed="16"/>
      </bottom>
    </border>
    <border>
      <left style="hair">
        <color indexed="16"/>
      </left>
      <right style="hair">
        <color indexed="16"/>
      </right>
      <top style="hair">
        <color indexed="16"/>
      </top>
      <bottom style="hair">
        <color indexed="16"/>
      </bottom>
    </border>
    <border>
      <left style="hair">
        <color indexed="16"/>
      </left>
      <right>
        <color indexed="63"/>
      </right>
      <top>
        <color indexed="63"/>
      </top>
      <bottom style="hair">
        <color indexed="16"/>
      </bottom>
    </border>
    <border>
      <left>
        <color indexed="63"/>
      </left>
      <right>
        <color indexed="63"/>
      </right>
      <top style="hair">
        <color indexed="16"/>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thin"/>
      <right style="thin"/>
      <top style="thin"/>
      <bottom style="thin"/>
    </border>
    <border>
      <left style="thin">
        <color indexed="8"/>
      </left>
      <right style="thin"/>
      <top style="thin">
        <color indexed="8"/>
      </top>
      <bottom style="thin">
        <color indexed="8"/>
      </bottom>
    </border>
    <border>
      <left style="medium"/>
      <right style="medium"/>
      <top style="medium"/>
      <bottom style="medium"/>
    </border>
    <border>
      <left style="medium">
        <color indexed="8"/>
      </left>
      <right style="medium">
        <color indexed="8"/>
      </right>
      <top style="medium">
        <color indexed="8"/>
      </top>
      <bottom>
        <color indexed="63"/>
      </bottom>
    </border>
    <border>
      <left style="hair">
        <color indexed="16"/>
      </left>
      <right style="hair">
        <color indexed="16"/>
      </right>
      <top style="hair">
        <color indexed="16"/>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5" fontId="0" fillId="0" borderId="0" applyFill="0" applyBorder="0" applyAlignment="0" applyProtection="0"/>
    <xf numFmtId="41" fontId="0" fillId="0" borderId="0" applyFont="0" applyFill="0" applyBorder="0" applyAlignment="0" applyProtection="0"/>
    <xf numFmtId="171" fontId="0" fillId="0" borderId="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6">
    <xf numFmtId="0" fontId="0" fillId="0" borderId="0" xfId="0" applyAlignment="1">
      <alignment/>
    </xf>
    <xf numFmtId="0" fontId="4" fillId="0" borderId="10" xfId="0" applyFont="1" applyFill="1" applyBorder="1" applyAlignment="1">
      <alignment horizontal="center"/>
    </xf>
    <xf numFmtId="0" fontId="4" fillId="0" borderId="0" xfId="0" applyFont="1" applyFill="1" applyBorder="1" applyAlignment="1">
      <alignment horizontal="center"/>
    </xf>
    <xf numFmtId="0" fontId="5" fillId="0" borderId="11" xfId="0" applyFont="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xf>
    <xf numFmtId="0" fontId="0" fillId="0" borderId="12" xfId="0" applyFont="1" applyBorder="1" applyAlignment="1">
      <alignment/>
    </xf>
    <xf numFmtId="0" fontId="0" fillId="0" borderId="13" xfId="0" applyBorder="1" applyAlignment="1">
      <alignment/>
    </xf>
    <xf numFmtId="0" fontId="0" fillId="0" borderId="13" xfId="0" applyBorder="1" applyAlignment="1">
      <alignment horizontal="right"/>
    </xf>
    <xf numFmtId="3" fontId="0" fillId="0" borderId="14" xfId="0" applyNumberFormat="1" applyBorder="1" applyAlignment="1">
      <alignment horizontal="right"/>
    </xf>
    <xf numFmtId="10" fontId="0" fillId="0" borderId="14" xfId="0" applyNumberFormat="1" applyBorder="1" applyAlignment="1">
      <alignment horizontal="right"/>
    </xf>
    <xf numFmtId="37" fontId="0" fillId="0" borderId="0" xfId="56" applyNumberFormat="1" applyFont="1" applyFill="1" applyBorder="1" applyProtection="1">
      <alignment/>
      <protection/>
    </xf>
    <xf numFmtId="37" fontId="0" fillId="0" borderId="0" xfId="56" applyNumberFormat="1" applyFont="1" applyFill="1" applyBorder="1">
      <alignment/>
      <protection/>
    </xf>
    <xf numFmtId="0" fontId="7" fillId="0" borderId="0"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Border="1" applyAlignment="1">
      <alignment/>
    </xf>
    <xf numFmtId="0" fontId="0" fillId="0" borderId="17" xfId="0" applyBorder="1" applyAlignment="1">
      <alignment horizontal="right"/>
    </xf>
    <xf numFmtId="1" fontId="0" fillId="0" borderId="0" xfId="0" applyNumberFormat="1" applyAlignment="1">
      <alignment/>
    </xf>
    <xf numFmtId="0" fontId="6" fillId="0" borderId="16" xfId="0" applyFont="1" applyBorder="1" applyAlignment="1">
      <alignment/>
    </xf>
    <xf numFmtId="0" fontId="6" fillId="0" borderId="0" xfId="0" applyFont="1" applyBorder="1" applyAlignment="1">
      <alignment/>
    </xf>
    <xf numFmtId="3" fontId="6" fillId="0" borderId="17" xfId="0" applyNumberFormat="1" applyFont="1" applyBorder="1" applyAlignment="1">
      <alignment horizontal="right"/>
    </xf>
    <xf numFmtId="0" fontId="0" fillId="0" borderId="0" xfId="0" applyFont="1" applyBorder="1" applyAlignment="1">
      <alignment/>
    </xf>
    <xf numFmtId="10" fontId="0" fillId="0" borderId="0" xfId="56" applyNumberFormat="1" applyFont="1" applyFill="1" applyBorder="1" applyAlignment="1">
      <alignment horizontal="right"/>
      <protection/>
    </xf>
    <xf numFmtId="0" fontId="0" fillId="0" borderId="16" xfId="0" applyFont="1" applyFill="1" applyBorder="1" applyAlignment="1">
      <alignment/>
    </xf>
    <xf numFmtId="9" fontId="0" fillId="0" borderId="0" xfId="60" applyFont="1" applyFill="1" applyBorder="1" applyAlignment="1" applyProtection="1">
      <alignment horizontal="right"/>
      <protection/>
    </xf>
    <xf numFmtId="0" fontId="0" fillId="0" borderId="0" xfId="0" applyNumberFormat="1" applyFont="1" applyBorder="1" applyAlignment="1">
      <alignment/>
    </xf>
    <xf numFmtId="3" fontId="0" fillId="0" borderId="17" xfId="0" applyNumberFormat="1" applyBorder="1" applyAlignment="1">
      <alignment horizontal="right"/>
    </xf>
    <xf numFmtId="3" fontId="6" fillId="0" borderId="17" xfId="0" applyNumberFormat="1" applyFont="1" applyBorder="1" applyAlignment="1">
      <alignment/>
    </xf>
    <xf numFmtId="0" fontId="0" fillId="0" borderId="0" xfId="0" applyFont="1" applyBorder="1" applyAlignment="1">
      <alignment horizontal="right"/>
    </xf>
    <xf numFmtId="0" fontId="0" fillId="0" borderId="0" xfId="0" applyNumberFormat="1" applyBorder="1" applyAlignment="1">
      <alignment/>
    </xf>
    <xf numFmtId="9" fontId="8" fillId="0" borderId="17" xfId="0" applyNumberFormat="1" applyFont="1" applyBorder="1" applyAlignment="1">
      <alignment horizontal="right"/>
    </xf>
    <xf numFmtId="10" fontId="0" fillId="0" borderId="0" xfId="56" applyNumberFormat="1" applyFont="1" applyFill="1" applyBorder="1">
      <alignment/>
      <protection/>
    </xf>
    <xf numFmtId="9" fontId="0" fillId="0" borderId="0" xfId="60" applyFont="1" applyFill="1" applyBorder="1" applyAlignment="1" applyProtection="1">
      <alignment horizontal="left"/>
      <protection/>
    </xf>
    <xf numFmtId="0" fontId="0" fillId="0" borderId="0" xfId="0" applyFont="1" applyFill="1" applyBorder="1" applyAlignment="1">
      <alignment horizontal="right"/>
    </xf>
    <xf numFmtId="0" fontId="0" fillId="0" borderId="16" xfId="0" applyFill="1" applyBorder="1" applyAlignment="1">
      <alignment horizontal="right"/>
    </xf>
    <xf numFmtId="9" fontId="0" fillId="0" borderId="0" xfId="60" applyFont="1" applyFill="1" applyBorder="1" applyAlignment="1" applyProtection="1">
      <alignment/>
      <protection/>
    </xf>
    <xf numFmtId="166" fontId="0" fillId="0" borderId="0" xfId="0" applyNumberFormat="1" applyBorder="1" applyAlignment="1">
      <alignment/>
    </xf>
    <xf numFmtId="9" fontId="0" fillId="0" borderId="17" xfId="0" applyNumberFormat="1" applyFont="1" applyBorder="1" applyAlignment="1">
      <alignment/>
    </xf>
    <xf numFmtId="168" fontId="6" fillId="0" borderId="0" xfId="0" applyNumberFormat="1" applyFont="1" applyBorder="1" applyAlignment="1">
      <alignment/>
    </xf>
    <xf numFmtId="168" fontId="6" fillId="0" borderId="17" xfId="60" applyNumberFormat="1" applyFont="1" applyFill="1" applyBorder="1" applyAlignment="1" applyProtection="1">
      <alignment horizontal="right"/>
      <protection/>
    </xf>
    <xf numFmtId="169" fontId="6" fillId="0" borderId="0" xfId="0" applyNumberFormat="1" applyFont="1" applyAlignment="1">
      <alignment/>
    </xf>
    <xf numFmtId="0" fontId="6" fillId="0" borderId="0" xfId="0" applyFont="1" applyAlignment="1">
      <alignment/>
    </xf>
    <xf numFmtId="166" fontId="6" fillId="0" borderId="17" xfId="0" applyNumberFormat="1" applyFont="1" applyBorder="1" applyAlignment="1">
      <alignment horizontal="right"/>
    </xf>
    <xf numFmtId="39" fontId="0" fillId="0" borderId="0" xfId="56" applyNumberFormat="1" applyFont="1" applyFill="1" applyBorder="1" applyProtection="1">
      <alignment/>
      <protection/>
    </xf>
    <xf numFmtId="0" fontId="6" fillId="0" borderId="18" xfId="0" applyFont="1" applyBorder="1" applyAlignment="1">
      <alignment/>
    </xf>
    <xf numFmtId="0" fontId="6" fillId="0" borderId="15" xfId="0" applyFont="1" applyBorder="1" applyAlignment="1">
      <alignment/>
    </xf>
    <xf numFmtId="167" fontId="6" fillId="0" borderId="19" xfId="0" applyNumberFormat="1" applyFont="1" applyBorder="1" applyAlignment="1">
      <alignment horizontal="right"/>
    </xf>
    <xf numFmtId="0" fontId="0" fillId="0" borderId="0" xfId="0" applyFill="1" applyBorder="1" applyAlignment="1">
      <alignment horizontal="center"/>
    </xf>
    <xf numFmtId="170" fontId="6" fillId="0" borderId="0" xfId="0" applyNumberFormat="1" applyFont="1" applyFill="1" applyBorder="1" applyAlignment="1">
      <alignment/>
    </xf>
    <xf numFmtId="170" fontId="0" fillId="0" borderId="0" xfId="0" applyNumberFormat="1" applyFill="1" applyBorder="1" applyAlignment="1">
      <alignment horizontal="center"/>
    </xf>
    <xf numFmtId="0" fontId="0" fillId="0" borderId="16"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xf>
    <xf numFmtId="0" fontId="0" fillId="0" borderId="15" xfId="0" applyFont="1" applyFill="1" applyBorder="1" applyAlignment="1">
      <alignment horizontal="right"/>
    </xf>
    <xf numFmtId="9" fontId="0" fillId="0" borderId="19" xfId="60" applyNumberFormat="1" applyFont="1" applyFill="1" applyBorder="1" applyAlignment="1" applyProtection="1">
      <alignment/>
      <protection/>
    </xf>
    <xf numFmtId="0" fontId="6" fillId="33" borderId="16" xfId="0" applyFont="1" applyFill="1" applyBorder="1" applyAlignment="1">
      <alignment wrapText="1"/>
    </xf>
    <xf numFmtId="172" fontId="6" fillId="33" borderId="0" xfId="44" applyNumberFormat="1" applyFont="1" applyFill="1" applyBorder="1" applyAlignment="1" applyProtection="1">
      <alignment wrapText="1"/>
      <protection/>
    </xf>
    <xf numFmtId="171" fontId="6" fillId="33" borderId="0" xfId="44" applyFont="1" applyFill="1" applyBorder="1" applyAlignment="1" applyProtection="1">
      <alignment horizontal="left"/>
      <protection/>
    </xf>
    <xf numFmtId="9" fontId="6" fillId="33" borderId="0" xfId="44" applyNumberFormat="1" applyFont="1" applyFill="1" applyBorder="1" applyAlignment="1" applyProtection="1">
      <alignment horizontal="right"/>
      <protection/>
    </xf>
    <xf numFmtId="167" fontId="6" fillId="33" borderId="17" xfId="0" applyNumberFormat="1" applyFont="1" applyFill="1" applyBorder="1" applyAlignment="1">
      <alignment horizontal="right"/>
    </xf>
    <xf numFmtId="0" fontId="6" fillId="0" borderId="0" xfId="0" applyFont="1" applyAlignment="1">
      <alignment horizontal="center"/>
    </xf>
    <xf numFmtId="0" fontId="6" fillId="0" borderId="14" xfId="0" applyFont="1" applyBorder="1" applyAlignment="1">
      <alignment horizontal="center"/>
    </xf>
    <xf numFmtId="167" fontId="6" fillId="0" borderId="0" xfId="0" applyNumberFormat="1" applyFont="1" applyBorder="1" applyAlignment="1">
      <alignment horizontal="right"/>
    </xf>
    <xf numFmtId="167" fontId="6" fillId="0" borderId="17" xfId="0" applyNumberFormat="1" applyFont="1" applyBorder="1" applyAlignment="1">
      <alignment horizontal="right"/>
    </xf>
    <xf numFmtId="170" fontId="0" fillId="0" borderId="0" xfId="0" applyNumberFormat="1" applyFont="1" applyFill="1" applyBorder="1" applyAlignment="1">
      <alignment horizontal="right"/>
    </xf>
    <xf numFmtId="170" fontId="6" fillId="0" borderId="0" xfId="0" applyNumberFormat="1" applyFont="1" applyFill="1" applyBorder="1" applyAlignment="1">
      <alignment horizontal="center"/>
    </xf>
    <xf numFmtId="173" fontId="9" fillId="0" borderId="0" xfId="0" applyNumberFormat="1" applyFont="1" applyAlignment="1">
      <alignment/>
    </xf>
    <xf numFmtId="173" fontId="0" fillId="0" borderId="17" xfId="0" applyNumberFormat="1" applyBorder="1" applyAlignment="1">
      <alignment horizontal="right"/>
    </xf>
    <xf numFmtId="38" fontId="0" fillId="0" borderId="0" xfId="0" applyNumberFormat="1" applyFont="1" applyFill="1" applyBorder="1" applyAlignment="1">
      <alignment horizontal="center"/>
    </xf>
    <xf numFmtId="38" fontId="0" fillId="0" borderId="0" xfId="0" applyNumberFormat="1" applyFill="1" applyBorder="1" applyAlignment="1">
      <alignment horizontal="center"/>
    </xf>
    <xf numFmtId="2" fontId="9" fillId="0" borderId="0" xfId="0" applyNumberFormat="1" applyFont="1" applyAlignment="1">
      <alignment/>
    </xf>
    <xf numFmtId="170" fontId="6" fillId="0" borderId="0" xfId="0" applyNumberFormat="1" applyFont="1" applyFill="1" applyBorder="1" applyAlignment="1">
      <alignment horizontal="right"/>
    </xf>
    <xf numFmtId="174" fontId="6" fillId="33" borderId="0" xfId="0" applyNumberFormat="1" applyFont="1" applyFill="1" applyBorder="1" applyAlignment="1">
      <alignment wrapText="1"/>
    </xf>
    <xf numFmtId="9" fontId="6" fillId="0" borderId="0" xfId="60" applyFont="1" applyFill="1" applyBorder="1" applyAlignment="1" applyProtection="1">
      <alignment/>
      <protection/>
    </xf>
    <xf numFmtId="171" fontId="6" fillId="33" borderId="0" xfId="44" applyFont="1" applyFill="1" applyBorder="1" applyAlignment="1" applyProtection="1">
      <alignment horizontal="right"/>
      <protection/>
    </xf>
    <xf numFmtId="165" fontId="6" fillId="33" borderId="17" xfId="42" applyNumberFormat="1" applyFont="1" applyFill="1" applyBorder="1" applyAlignment="1" applyProtection="1">
      <alignment horizontal="right"/>
      <protection/>
    </xf>
    <xf numFmtId="176" fontId="6" fillId="0" borderId="17" xfId="0" applyNumberFormat="1" applyFont="1" applyBorder="1" applyAlignment="1">
      <alignment/>
    </xf>
    <xf numFmtId="174" fontId="6" fillId="33" borderId="0" xfId="44" applyNumberFormat="1" applyFont="1" applyFill="1" applyBorder="1" applyAlignment="1" applyProtection="1">
      <alignment/>
      <protection/>
    </xf>
    <xf numFmtId="174" fontId="6" fillId="33" borderId="17" xfId="44" applyNumberFormat="1" applyFont="1" applyFill="1" applyBorder="1" applyAlignment="1" applyProtection="1">
      <alignment horizontal="right"/>
      <protection/>
    </xf>
    <xf numFmtId="167" fontId="6" fillId="0" borderId="0" xfId="0" applyNumberFormat="1" applyFont="1" applyAlignment="1">
      <alignment/>
    </xf>
    <xf numFmtId="1" fontId="6" fillId="33" borderId="0" xfId="0" applyNumberFormat="1" applyFont="1" applyFill="1" applyBorder="1" applyAlignment="1">
      <alignment horizontal="right" wrapText="1"/>
    </xf>
    <xf numFmtId="165" fontId="6" fillId="33" borderId="0" xfId="44" applyNumberFormat="1" applyFont="1" applyFill="1" applyBorder="1" applyAlignment="1" applyProtection="1">
      <alignment horizontal="left"/>
      <protection/>
    </xf>
    <xf numFmtId="171" fontId="6" fillId="33" borderId="17" xfId="44" applyFont="1" applyFill="1" applyBorder="1" applyAlignment="1" applyProtection="1">
      <alignment horizontal="right"/>
      <protection/>
    </xf>
    <xf numFmtId="0" fontId="6" fillId="33" borderId="0" xfId="0" applyFont="1" applyFill="1" applyBorder="1" applyAlignment="1">
      <alignment wrapText="1"/>
    </xf>
    <xf numFmtId="0" fontId="0" fillId="0" borderId="17" xfId="0" applyBorder="1" applyAlignment="1">
      <alignment/>
    </xf>
    <xf numFmtId="167" fontId="0" fillId="0" borderId="15" xfId="0" applyNumberFormat="1" applyFont="1" applyBorder="1" applyAlignment="1">
      <alignment/>
    </xf>
    <xf numFmtId="0" fontId="6" fillId="33" borderId="16" xfId="0" applyFont="1" applyFill="1" applyBorder="1" applyAlignment="1">
      <alignment/>
    </xf>
    <xf numFmtId="0" fontId="6" fillId="33" borderId="0" xfId="0" applyFont="1" applyFill="1" applyBorder="1" applyAlignment="1">
      <alignment/>
    </xf>
    <xf numFmtId="178" fontId="0" fillId="0" borderId="0" xfId="0" applyNumberFormat="1" applyFill="1" applyBorder="1" applyAlignment="1">
      <alignment/>
    </xf>
    <xf numFmtId="177" fontId="0" fillId="0" borderId="14" xfId="42" applyNumberFormat="1" applyFont="1" applyFill="1" applyBorder="1" applyAlignment="1" applyProtection="1">
      <alignment horizontal="right"/>
      <protection/>
    </xf>
    <xf numFmtId="38" fontId="0" fillId="0" borderId="0" xfId="0" applyNumberFormat="1" applyFill="1" applyBorder="1" applyAlignment="1">
      <alignment/>
    </xf>
    <xf numFmtId="0" fontId="0" fillId="0" borderId="0" xfId="0" applyAlignment="1">
      <alignment horizontal="right"/>
    </xf>
    <xf numFmtId="9" fontId="0" fillId="0" borderId="0" xfId="0" applyNumberFormat="1" applyBorder="1" applyAlignment="1">
      <alignment/>
    </xf>
    <xf numFmtId="167" fontId="0" fillId="0" borderId="17" xfId="42" applyNumberFormat="1" applyFont="1" applyFill="1" applyBorder="1" applyAlignment="1" applyProtection="1">
      <alignment horizontal="right"/>
      <protection/>
    </xf>
    <xf numFmtId="3" fontId="0" fillId="0" borderId="0" xfId="0" applyNumberFormat="1" applyFill="1" applyBorder="1" applyAlignment="1">
      <alignment horizontal="center"/>
    </xf>
    <xf numFmtId="3" fontId="0" fillId="0" borderId="0" xfId="0" applyNumberFormat="1" applyBorder="1" applyAlignment="1">
      <alignment horizontal="center"/>
    </xf>
    <xf numFmtId="174" fontId="0" fillId="0" borderId="0" xfId="0" applyNumberFormat="1" applyAlignment="1">
      <alignment/>
    </xf>
    <xf numFmtId="0" fontId="6" fillId="0" borderId="12" xfId="0" applyFont="1" applyBorder="1" applyAlignment="1">
      <alignment/>
    </xf>
    <xf numFmtId="0" fontId="6" fillId="0" borderId="13" xfId="0" applyFont="1" applyBorder="1" applyAlignment="1">
      <alignment/>
    </xf>
    <xf numFmtId="178" fontId="6" fillId="33" borderId="13" xfId="0" applyNumberFormat="1" applyFont="1" applyFill="1" applyBorder="1" applyAlignment="1">
      <alignment horizontal="right"/>
    </xf>
    <xf numFmtId="0" fontId="10" fillId="0" borderId="0" xfId="0" applyFont="1" applyFill="1" applyBorder="1" applyAlignment="1">
      <alignment/>
    </xf>
    <xf numFmtId="178" fontId="6" fillId="33" borderId="0" xfId="0" applyNumberFormat="1" applyFont="1" applyFill="1" applyBorder="1" applyAlignment="1">
      <alignment horizontal="right"/>
    </xf>
    <xf numFmtId="167" fontId="0" fillId="0" borderId="17" xfId="42" applyNumberFormat="1" applyFont="1" applyFill="1" applyBorder="1" applyAlignment="1" applyProtection="1">
      <alignment/>
      <protection/>
    </xf>
    <xf numFmtId="167" fontId="0" fillId="0" borderId="0" xfId="0" applyNumberFormat="1" applyAlignment="1">
      <alignment/>
    </xf>
    <xf numFmtId="169" fontId="0" fillId="0" borderId="0" xfId="0" applyNumberFormat="1" applyBorder="1" applyAlignment="1">
      <alignment horizontal="right"/>
    </xf>
    <xf numFmtId="169" fontId="0" fillId="0" borderId="0" xfId="60" applyNumberFormat="1" applyFont="1" applyFill="1" applyBorder="1" applyAlignment="1" applyProtection="1">
      <alignment/>
      <protection/>
    </xf>
    <xf numFmtId="179" fontId="0" fillId="0" borderId="0" xfId="60" applyNumberFormat="1" applyFont="1" applyFill="1" applyBorder="1" applyAlignment="1" applyProtection="1">
      <alignment horizontal="center"/>
      <protection/>
    </xf>
    <xf numFmtId="174" fontId="6" fillId="0" borderId="17" xfId="44" applyNumberFormat="1" applyFont="1" applyFill="1" applyBorder="1" applyAlignment="1" applyProtection="1">
      <alignment horizontal="right"/>
      <protection/>
    </xf>
    <xf numFmtId="169" fontId="0" fillId="0" borderId="16" xfId="60" applyNumberFormat="1" applyFont="1" applyFill="1" applyBorder="1" applyAlignment="1" applyProtection="1">
      <alignment/>
      <protection/>
    </xf>
    <xf numFmtId="167" fontId="0" fillId="0" borderId="0" xfId="0" applyNumberFormat="1" applyBorder="1" applyAlignment="1">
      <alignment/>
    </xf>
    <xf numFmtId="169" fontId="0" fillId="0" borderId="0" xfId="0" applyNumberFormat="1" applyAlignment="1">
      <alignment horizontal="right"/>
    </xf>
    <xf numFmtId="38" fontId="0" fillId="0" borderId="0" xfId="0" applyNumberFormat="1" applyFont="1" applyFill="1" applyBorder="1" applyAlignment="1">
      <alignment horizontal="right"/>
    </xf>
    <xf numFmtId="0" fontId="6" fillId="0" borderId="16" xfId="0" applyFont="1" applyFill="1" applyBorder="1" applyAlignment="1">
      <alignment/>
    </xf>
    <xf numFmtId="170" fontId="0" fillId="0" borderId="0" xfId="0" applyNumberFormat="1" applyFill="1" applyBorder="1" applyAlignment="1">
      <alignment/>
    </xf>
    <xf numFmtId="38" fontId="6" fillId="0" borderId="0" xfId="0" applyNumberFormat="1" applyFont="1" applyFill="1" applyBorder="1" applyAlignment="1">
      <alignment horizontal="right"/>
    </xf>
    <xf numFmtId="38" fontId="6" fillId="0" borderId="0" xfId="44" applyNumberFormat="1" applyFont="1" applyFill="1" applyBorder="1" applyAlignment="1" applyProtection="1">
      <alignment horizontal="left"/>
      <protection/>
    </xf>
    <xf numFmtId="169" fontId="0" fillId="0" borderId="16" xfId="0" applyNumberFormat="1" applyBorder="1" applyAlignment="1">
      <alignment/>
    </xf>
    <xf numFmtId="169" fontId="0" fillId="0" borderId="0" xfId="0" applyNumberFormat="1" applyBorder="1" applyAlignment="1">
      <alignment/>
    </xf>
    <xf numFmtId="0" fontId="6" fillId="0" borderId="20" xfId="0" applyFont="1" applyBorder="1" applyAlignment="1">
      <alignment/>
    </xf>
    <xf numFmtId="0" fontId="6" fillId="0" borderId="21" xfId="0" applyFont="1" applyBorder="1" applyAlignment="1">
      <alignment/>
    </xf>
    <xf numFmtId="169" fontId="0" fillId="0" borderId="21" xfId="0" applyNumberFormat="1" applyBorder="1" applyAlignment="1">
      <alignment horizontal="right"/>
    </xf>
    <xf numFmtId="174" fontId="6" fillId="0" borderId="22" xfId="44" applyNumberFormat="1" applyFont="1" applyFill="1" applyBorder="1" applyAlignment="1" applyProtection="1">
      <alignment horizontal="right"/>
      <protection/>
    </xf>
    <xf numFmtId="0" fontId="6" fillId="0" borderId="23" xfId="0" applyFont="1" applyBorder="1" applyAlignment="1">
      <alignment horizontal="right"/>
    </xf>
    <xf numFmtId="0" fontId="6" fillId="0" borderId="24" xfId="0" applyFont="1" applyBorder="1" applyAlignment="1">
      <alignment horizontal="right"/>
    </xf>
    <xf numFmtId="171" fontId="6" fillId="33" borderId="24" xfId="44" applyFont="1" applyFill="1" applyBorder="1" applyAlignment="1" applyProtection="1">
      <alignment/>
      <protection/>
    </xf>
    <xf numFmtId="0" fontId="6" fillId="33" borderId="24" xfId="0" applyFont="1" applyFill="1" applyBorder="1" applyAlignment="1">
      <alignment horizontal="right"/>
    </xf>
    <xf numFmtId="174" fontId="6" fillId="33" borderId="25" xfId="0" applyNumberFormat="1" applyFont="1" applyFill="1" applyBorder="1" applyAlignment="1">
      <alignment/>
    </xf>
    <xf numFmtId="0" fontId="0" fillId="0" borderId="26" xfId="0" applyBorder="1" applyAlignment="1">
      <alignment/>
    </xf>
    <xf numFmtId="0" fontId="6" fillId="0" borderId="27" xfId="0" applyFont="1" applyFill="1" applyBorder="1" applyAlignment="1">
      <alignment horizontal="center"/>
    </xf>
    <xf numFmtId="0" fontId="11" fillId="0" borderId="28" xfId="0" applyFont="1" applyFill="1" applyBorder="1" applyAlignment="1">
      <alignment horizontal="center"/>
    </xf>
    <xf numFmtId="0" fontId="6" fillId="0" borderId="16" xfId="0" applyFont="1" applyBorder="1" applyAlignment="1">
      <alignment horizontal="right"/>
    </xf>
    <xf numFmtId="0" fontId="6" fillId="0" borderId="0" xfId="0" applyFont="1" applyBorder="1" applyAlignment="1">
      <alignment horizontal="right"/>
    </xf>
    <xf numFmtId="10" fontId="0" fillId="0" borderId="0" xfId="0" applyNumberFormat="1" applyBorder="1" applyAlignment="1">
      <alignment horizontal="right"/>
    </xf>
    <xf numFmtId="10" fontId="0" fillId="0" borderId="0" xfId="0" applyNumberFormat="1" applyFont="1" applyBorder="1" applyAlignment="1">
      <alignment horizontal="left"/>
    </xf>
    <xf numFmtId="174" fontId="0" fillId="0" borderId="17" xfId="44" applyNumberFormat="1" applyFont="1" applyFill="1" applyBorder="1" applyAlignment="1" applyProtection="1">
      <alignment/>
      <protection/>
    </xf>
    <xf numFmtId="0" fontId="0" fillId="0" borderId="18" xfId="0" applyBorder="1" applyAlignment="1">
      <alignment/>
    </xf>
    <xf numFmtId="0" fontId="6" fillId="0" borderId="26" xfId="0" applyFont="1" applyBorder="1" applyAlignment="1">
      <alignment/>
    </xf>
    <xf numFmtId="174" fontId="6" fillId="0" borderId="29" xfId="0" applyNumberFormat="1" applyFont="1" applyBorder="1" applyAlignment="1">
      <alignment horizontal="center"/>
    </xf>
    <xf numFmtId="174" fontId="6" fillId="0" borderId="0" xfId="0" applyNumberFormat="1" applyFont="1" applyBorder="1" applyAlignment="1">
      <alignment/>
    </xf>
    <xf numFmtId="174" fontId="6" fillId="0" borderId="30" xfId="0" applyNumberFormat="1" applyFont="1" applyBorder="1" applyAlignment="1">
      <alignment/>
    </xf>
    <xf numFmtId="168" fontId="6" fillId="0" borderId="0" xfId="0" applyNumberFormat="1" applyFont="1" applyFill="1" applyBorder="1" applyAlignment="1">
      <alignment/>
    </xf>
    <xf numFmtId="168" fontId="6" fillId="0" borderId="30" xfId="0" applyNumberFormat="1" applyFont="1" applyFill="1" applyBorder="1" applyAlignment="1">
      <alignment/>
    </xf>
    <xf numFmtId="0" fontId="6" fillId="0" borderId="23" xfId="0" applyFont="1" applyBorder="1" applyAlignment="1">
      <alignment/>
    </xf>
    <xf numFmtId="0" fontId="6" fillId="0" borderId="24" xfId="0" applyFont="1" applyBorder="1" applyAlignment="1">
      <alignment/>
    </xf>
    <xf numFmtId="171" fontId="6" fillId="33" borderId="24" xfId="44" applyNumberFormat="1" applyFont="1" applyFill="1" applyBorder="1" applyAlignment="1" applyProtection="1">
      <alignment horizontal="right"/>
      <protection/>
    </xf>
    <xf numFmtId="174" fontId="6" fillId="34" borderId="24" xfId="44" applyNumberFormat="1" applyFont="1" applyFill="1" applyBorder="1" applyAlignment="1" applyProtection="1">
      <alignment horizontal="right"/>
      <protection/>
    </xf>
    <xf numFmtId="0" fontId="6" fillId="0" borderId="31" xfId="0" applyFont="1" applyFill="1" applyBorder="1" applyAlignment="1">
      <alignment/>
    </xf>
    <xf numFmtId="10" fontId="0" fillId="0" borderId="0" xfId="0" applyNumberFormat="1" applyAlignment="1">
      <alignment/>
    </xf>
    <xf numFmtId="10" fontId="0" fillId="0" borderId="32" xfId="0" applyNumberFormat="1" applyBorder="1" applyAlignment="1">
      <alignment/>
    </xf>
    <xf numFmtId="10" fontId="0" fillId="0" borderId="0" xfId="0" applyNumberFormat="1" applyFont="1" applyAlignment="1">
      <alignment/>
    </xf>
    <xf numFmtId="10" fontId="0" fillId="0" borderId="0" xfId="0" applyNumberFormat="1" applyFont="1" applyFill="1" applyAlignment="1">
      <alignment/>
    </xf>
    <xf numFmtId="0" fontId="0" fillId="0" borderId="19" xfId="0" applyBorder="1" applyAlignment="1">
      <alignment horizontal="right"/>
    </xf>
    <xf numFmtId="0" fontId="0" fillId="0" borderId="13" xfId="0" applyBorder="1" applyAlignment="1">
      <alignment horizontal="left"/>
    </xf>
    <xf numFmtId="167" fontId="0" fillId="0" borderId="14" xfId="42" applyNumberFormat="1" applyFont="1" applyFill="1" applyBorder="1" applyAlignment="1" applyProtection="1">
      <alignment horizontal="right" indent="1"/>
      <protection/>
    </xf>
    <xf numFmtId="37" fontId="0" fillId="0" borderId="0" xfId="0" applyNumberFormat="1" applyFill="1" applyBorder="1" applyAlignment="1">
      <alignment/>
    </xf>
    <xf numFmtId="167" fontId="0" fillId="0" borderId="17" xfId="42" applyNumberFormat="1" applyFont="1" applyFill="1" applyBorder="1" applyAlignment="1" applyProtection="1">
      <alignment horizontal="right" indent="1"/>
      <protection/>
    </xf>
    <xf numFmtId="0" fontId="0" fillId="0" borderId="30" xfId="0" applyBorder="1" applyAlignment="1">
      <alignment/>
    </xf>
    <xf numFmtId="10" fontId="0" fillId="0" borderId="30" xfId="0" applyNumberFormat="1" applyBorder="1" applyAlignment="1">
      <alignment/>
    </xf>
    <xf numFmtId="174" fontId="0" fillId="0" borderId="0" xfId="0" applyNumberFormat="1" applyBorder="1" applyAlignment="1">
      <alignment/>
    </xf>
    <xf numFmtId="0" fontId="0" fillId="33" borderId="33" xfId="0" applyFill="1" applyBorder="1" applyAlignment="1">
      <alignment/>
    </xf>
    <xf numFmtId="0" fontId="11" fillId="33" borderId="34" xfId="0" applyFont="1" applyFill="1" applyBorder="1" applyAlignment="1">
      <alignment horizontal="center"/>
    </xf>
    <xf numFmtId="167" fontId="0" fillId="0" borderId="0" xfId="0" applyNumberFormat="1" applyBorder="1" applyAlignment="1">
      <alignment horizontal="right"/>
    </xf>
    <xf numFmtId="0" fontId="6" fillId="33" borderId="12" xfId="0" applyFont="1" applyFill="1" applyBorder="1" applyAlignment="1">
      <alignment/>
    </xf>
    <xf numFmtId="37" fontId="0" fillId="33" borderId="12" xfId="0" applyNumberFormat="1" applyFill="1" applyBorder="1" applyAlignment="1">
      <alignment/>
    </xf>
    <xf numFmtId="9" fontId="0" fillId="0" borderId="0" xfId="0" applyNumberFormat="1" applyBorder="1" applyAlignment="1">
      <alignment horizontal="right"/>
    </xf>
    <xf numFmtId="37" fontId="0" fillId="33" borderId="16" xfId="0" applyNumberFormat="1" applyFill="1" applyBorder="1" applyAlignment="1">
      <alignment/>
    </xf>
    <xf numFmtId="37" fontId="0" fillId="33" borderId="35" xfId="0" applyNumberFormat="1" applyFill="1" applyBorder="1" applyAlignment="1">
      <alignment/>
    </xf>
    <xf numFmtId="167" fontId="0" fillId="0" borderId="0" xfId="42" applyNumberFormat="1" applyFont="1" applyFill="1" applyBorder="1" applyAlignment="1" applyProtection="1">
      <alignment horizontal="right" indent="1"/>
      <protection/>
    </xf>
    <xf numFmtId="0" fontId="6" fillId="33" borderId="18" xfId="0" applyFont="1" applyFill="1" applyBorder="1" applyAlignment="1">
      <alignment/>
    </xf>
    <xf numFmtId="37" fontId="0" fillId="33" borderId="18" xfId="0" applyNumberFormat="1" applyFill="1" applyBorder="1" applyAlignment="1">
      <alignment/>
    </xf>
    <xf numFmtId="174" fontId="0" fillId="0" borderId="0" xfId="44" applyNumberFormat="1" applyFont="1" applyFill="1" applyBorder="1" applyAlignment="1" applyProtection="1">
      <alignment horizontal="right"/>
      <protection/>
    </xf>
    <xf numFmtId="181" fontId="0" fillId="0" borderId="0" xfId="42" applyNumberFormat="1" applyFont="1" applyFill="1" applyBorder="1" applyAlignment="1" applyProtection="1">
      <alignment horizontal="right" indent="1"/>
      <protection/>
    </xf>
    <xf numFmtId="166" fontId="0" fillId="0" borderId="0" xfId="0" applyNumberFormat="1" applyFont="1" applyAlignment="1">
      <alignment horizontal="right"/>
    </xf>
    <xf numFmtId="171" fontId="0" fillId="0" borderId="0" xfId="44" applyFont="1" applyFill="1" applyBorder="1" applyAlignment="1" applyProtection="1">
      <alignment/>
      <protection/>
    </xf>
    <xf numFmtId="167" fontId="0" fillId="0" borderId="0" xfId="0" applyNumberFormat="1" applyFont="1" applyAlignment="1">
      <alignment horizontal="right"/>
    </xf>
    <xf numFmtId="9" fontId="0" fillId="0" borderId="0" xfId="0" applyNumberFormat="1" applyBorder="1" applyAlignment="1">
      <alignment horizontal="left"/>
    </xf>
    <xf numFmtId="169" fontId="0" fillId="33" borderId="36" xfId="0" applyNumberFormat="1" applyFill="1" applyBorder="1" applyAlignment="1">
      <alignment/>
    </xf>
    <xf numFmtId="169" fontId="0" fillId="33" borderId="19" xfId="0" applyNumberFormat="1" applyFill="1" applyBorder="1" applyAlignment="1">
      <alignment/>
    </xf>
    <xf numFmtId="167" fontId="0" fillId="0" borderId="15" xfId="0" applyNumberFormat="1" applyFont="1" applyBorder="1" applyAlignment="1">
      <alignment horizontal="right"/>
    </xf>
    <xf numFmtId="9" fontId="0" fillId="0" borderId="15" xfId="0" applyNumberFormat="1" applyFont="1" applyBorder="1" applyAlignment="1">
      <alignment horizontal="left"/>
    </xf>
    <xf numFmtId="167" fontId="0" fillId="0" borderId="19" xfId="42" applyNumberFormat="1" applyFont="1" applyFill="1" applyBorder="1" applyAlignment="1" applyProtection="1">
      <alignment horizontal="right" indent="1"/>
      <protection/>
    </xf>
    <xf numFmtId="0" fontId="6" fillId="33" borderId="37" xfId="0" applyFont="1" applyFill="1" applyBorder="1" applyAlignment="1">
      <alignment/>
    </xf>
    <xf numFmtId="180" fontId="6" fillId="33" borderId="37" xfId="0" applyNumberFormat="1" applyFont="1" applyFill="1" applyBorder="1" applyAlignment="1">
      <alignment/>
    </xf>
    <xf numFmtId="180" fontId="0" fillId="33" borderId="37" xfId="0" applyNumberFormat="1" applyFill="1" applyBorder="1" applyAlignment="1">
      <alignment/>
    </xf>
    <xf numFmtId="37" fontId="0" fillId="0" borderId="0" xfId="0" applyNumberFormat="1" applyBorder="1" applyAlignment="1">
      <alignment/>
    </xf>
    <xf numFmtId="174" fontId="0" fillId="0" borderId="0" xfId="44" applyNumberFormat="1" applyFont="1" applyFill="1" applyBorder="1" applyAlignment="1" applyProtection="1">
      <alignment horizontal="left" indent="2"/>
      <protection/>
    </xf>
    <xf numFmtId="166" fontId="0" fillId="33" borderId="37" xfId="0" applyNumberFormat="1" applyFill="1" applyBorder="1" applyAlignment="1">
      <alignment/>
    </xf>
    <xf numFmtId="166" fontId="0" fillId="33" borderId="33" xfId="0" applyNumberFormat="1" applyFill="1" applyBorder="1" applyAlignment="1">
      <alignment/>
    </xf>
    <xf numFmtId="0" fontId="0" fillId="0" borderId="0" xfId="0" applyFont="1" applyAlignment="1">
      <alignment horizontal="right"/>
    </xf>
    <xf numFmtId="0" fontId="6" fillId="33" borderId="35" xfId="0" applyFont="1"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0" borderId="20" xfId="0" applyFont="1" applyBorder="1" applyAlignment="1">
      <alignment/>
    </xf>
    <xf numFmtId="0" fontId="0" fillId="0" borderId="21" xfId="0" applyBorder="1" applyAlignment="1">
      <alignment/>
    </xf>
    <xf numFmtId="9" fontId="0" fillId="0" borderId="21" xfId="0" applyNumberFormat="1" applyFont="1" applyBorder="1" applyAlignment="1">
      <alignment horizontal="right"/>
    </xf>
    <xf numFmtId="169" fontId="0" fillId="0" borderId="21" xfId="0" applyNumberFormat="1" applyFont="1" applyBorder="1" applyAlignment="1">
      <alignment horizontal="right"/>
    </xf>
    <xf numFmtId="167" fontId="0" fillId="0" borderId="22" xfId="42" applyNumberFormat="1" applyFont="1" applyFill="1" applyBorder="1" applyAlignment="1" applyProtection="1">
      <alignment horizontal="right" indent="1"/>
      <protection/>
    </xf>
    <xf numFmtId="0" fontId="6" fillId="33" borderId="36" xfId="0" applyFont="1" applyFill="1" applyBorder="1" applyAlignment="1">
      <alignment/>
    </xf>
    <xf numFmtId="0" fontId="0" fillId="33" borderId="18" xfId="0" applyFill="1" applyBorder="1" applyAlignment="1">
      <alignment/>
    </xf>
    <xf numFmtId="0" fontId="0" fillId="33" borderId="15" xfId="0" applyFill="1" applyBorder="1" applyAlignment="1">
      <alignment/>
    </xf>
    <xf numFmtId="0" fontId="0" fillId="0" borderId="38" xfId="0" applyFont="1" applyBorder="1" applyAlignment="1">
      <alignment horizontal="right"/>
    </xf>
    <xf numFmtId="0" fontId="0" fillId="0" borderId="24" xfId="0" applyBorder="1" applyAlignment="1">
      <alignment horizontal="right"/>
    </xf>
    <xf numFmtId="169" fontId="0" fillId="0" borderId="24" xfId="0" applyNumberFormat="1" applyFont="1" applyBorder="1" applyAlignment="1">
      <alignment horizontal="right"/>
    </xf>
    <xf numFmtId="167" fontId="0" fillId="0" borderId="39" xfId="42" applyNumberFormat="1" applyFont="1" applyFill="1" applyBorder="1" applyAlignment="1" applyProtection="1">
      <alignment horizontal="right" indent="1"/>
      <protection/>
    </xf>
    <xf numFmtId="169" fontId="6" fillId="0" borderId="0" xfId="0" applyNumberFormat="1" applyFont="1" applyBorder="1" applyAlignment="1">
      <alignment/>
    </xf>
    <xf numFmtId="178" fontId="0" fillId="0" borderId="17" xfId="42" applyNumberFormat="1" applyFont="1" applyFill="1" applyBorder="1" applyAlignment="1" applyProtection="1">
      <alignment horizontal="right" indent="1"/>
      <protection/>
    </xf>
    <xf numFmtId="174" fontId="6" fillId="0" borderId="25" xfId="44" applyNumberFormat="1" applyFont="1" applyFill="1" applyBorder="1" applyAlignment="1" applyProtection="1">
      <alignment horizontal="right"/>
      <protection/>
    </xf>
    <xf numFmtId="174" fontId="0" fillId="0" borderId="0" xfId="44" applyNumberFormat="1" applyFont="1" applyFill="1" applyBorder="1" applyAlignment="1" applyProtection="1">
      <alignment/>
      <protection/>
    </xf>
    <xf numFmtId="0" fontId="0" fillId="0" borderId="10" xfId="0" applyBorder="1" applyAlignment="1">
      <alignment/>
    </xf>
    <xf numFmtId="174" fontId="0" fillId="0" borderId="11" xfId="44" applyNumberFormat="1" applyFont="1" applyFill="1" applyBorder="1" applyAlignment="1" applyProtection="1">
      <alignment/>
      <protection/>
    </xf>
    <xf numFmtId="0" fontId="6" fillId="0" borderId="10" xfId="57" applyFont="1" applyFill="1" applyBorder="1" applyAlignment="1">
      <alignment horizontal="left" vertical="center"/>
      <protection/>
    </xf>
    <xf numFmtId="0" fontId="6" fillId="0" borderId="0" xfId="57" applyFont="1" applyFill="1" applyBorder="1" applyAlignment="1">
      <alignment horizontal="left" vertical="center"/>
      <protection/>
    </xf>
    <xf numFmtId="178" fontId="12" fillId="0" borderId="0" xfId="44" applyNumberFormat="1" applyFont="1" applyFill="1" applyBorder="1" applyAlignment="1" applyProtection="1">
      <alignment/>
      <protection/>
    </xf>
    <xf numFmtId="174" fontId="6" fillId="34" borderId="40" xfId="44" applyNumberFormat="1" applyFont="1" applyFill="1" applyBorder="1" applyAlignment="1" applyProtection="1">
      <alignment/>
      <protection/>
    </xf>
    <xf numFmtId="0" fontId="6" fillId="33" borderId="41" xfId="57" applyFont="1" applyFill="1" applyBorder="1">
      <alignment/>
      <protection/>
    </xf>
    <xf numFmtId="0" fontId="6" fillId="33" borderId="42" xfId="57" applyFont="1" applyFill="1" applyBorder="1">
      <alignment/>
      <protection/>
    </xf>
    <xf numFmtId="0" fontId="0" fillId="0" borderId="34" xfId="0" applyBorder="1" applyAlignment="1">
      <alignment/>
    </xf>
    <xf numFmtId="174" fontId="0" fillId="0" borderId="34" xfId="44" applyNumberFormat="1" applyFont="1" applyFill="1" applyBorder="1" applyAlignment="1" applyProtection="1">
      <alignment/>
      <protection/>
    </xf>
    <xf numFmtId="174" fontId="0" fillId="0" borderId="43" xfId="44" applyNumberFormat="1" applyFont="1" applyFill="1" applyBorder="1" applyAlignment="1" applyProtection="1">
      <alignment/>
      <protection/>
    </xf>
    <xf numFmtId="0" fontId="6" fillId="0" borderId="10" xfId="57" applyFont="1" applyFill="1" applyBorder="1" applyAlignment="1">
      <alignment vertical="center"/>
      <protection/>
    </xf>
    <xf numFmtId="0" fontId="0" fillId="0" borderId="0" xfId="57" applyFont="1" applyFill="1" applyBorder="1">
      <alignment/>
      <protection/>
    </xf>
    <xf numFmtId="178" fontId="0" fillId="0" borderId="0" xfId="44" applyNumberFormat="1" applyFont="1" applyFill="1" applyBorder="1" applyAlignment="1" applyProtection="1">
      <alignment/>
      <protection/>
    </xf>
    <xf numFmtId="0" fontId="0" fillId="0" borderId="0" xfId="57" applyFont="1" applyBorder="1">
      <alignment/>
      <protection/>
    </xf>
    <xf numFmtId="183" fontId="0" fillId="0" borderId="0" xfId="44" applyNumberFormat="1" applyFont="1" applyFill="1" applyBorder="1" applyAlignment="1" applyProtection="1">
      <alignment/>
      <protection/>
    </xf>
    <xf numFmtId="0" fontId="6" fillId="33" borderId="0" xfId="57" applyFont="1" applyFill="1" applyBorder="1">
      <alignment/>
      <protection/>
    </xf>
    <xf numFmtId="169" fontId="6" fillId="33" borderId="0" xfId="60" applyNumberFormat="1" applyFont="1" applyFill="1" applyBorder="1" applyAlignment="1" applyProtection="1">
      <alignment/>
      <protection/>
    </xf>
    <xf numFmtId="0" fontId="0" fillId="33" borderId="0" xfId="57" applyFont="1" applyFill="1" applyBorder="1">
      <alignment/>
      <protection/>
    </xf>
    <xf numFmtId="169" fontId="0" fillId="33" borderId="0" xfId="60" applyNumberFormat="1" applyFont="1" applyFill="1" applyBorder="1" applyAlignment="1" applyProtection="1">
      <alignment/>
      <protection/>
    </xf>
    <xf numFmtId="174" fontId="0" fillId="33" borderId="0" xfId="44" applyNumberFormat="1" applyFont="1" applyFill="1" applyBorder="1" applyAlignment="1" applyProtection="1">
      <alignment/>
      <protection/>
    </xf>
    <xf numFmtId="0" fontId="0" fillId="0" borderId="10" xfId="57" applyFont="1" applyBorder="1">
      <alignment/>
      <protection/>
    </xf>
    <xf numFmtId="0" fontId="6" fillId="0" borderId="0" xfId="57" applyFont="1" applyBorder="1" applyAlignment="1">
      <alignment horizontal="right"/>
      <protection/>
    </xf>
    <xf numFmtId="174" fontId="6" fillId="34" borderId="44" xfId="44" applyNumberFormat="1" applyFont="1" applyFill="1" applyBorder="1" applyAlignment="1" applyProtection="1">
      <alignment/>
      <protection/>
    </xf>
    <xf numFmtId="0" fontId="6" fillId="0" borderId="10" xfId="57" applyFont="1" applyBorder="1">
      <alignment/>
      <protection/>
    </xf>
    <xf numFmtId="10" fontId="0" fillId="0" borderId="0" xfId="0" applyNumberFormat="1" applyBorder="1" applyAlignment="1">
      <alignment/>
    </xf>
    <xf numFmtId="0" fontId="0" fillId="33" borderId="34" xfId="0" applyFill="1" applyBorder="1" applyAlignment="1">
      <alignment/>
    </xf>
    <xf numFmtId="169" fontId="0" fillId="33" borderId="0" xfId="0" applyNumberFormat="1" applyFill="1" applyBorder="1" applyAlignment="1">
      <alignment/>
    </xf>
    <xf numFmtId="0" fontId="13" fillId="0" borderId="0" xfId="57" applyFont="1" applyBorder="1">
      <alignment/>
      <protection/>
    </xf>
    <xf numFmtId="0" fontId="6" fillId="0" borderId="10" xfId="57" applyFont="1" applyFill="1" applyBorder="1">
      <alignment/>
      <protection/>
    </xf>
    <xf numFmtId="9" fontId="0" fillId="33" borderId="0" xfId="60" applyNumberFormat="1" applyFont="1" applyFill="1" applyBorder="1" applyAlignment="1" applyProtection="1">
      <alignment/>
      <protection/>
    </xf>
    <xf numFmtId="0" fontId="0" fillId="0" borderId="45" xfId="57" applyFont="1" applyBorder="1">
      <alignment/>
      <protection/>
    </xf>
    <xf numFmtId="0" fontId="6" fillId="0" borderId="15" xfId="57" applyFont="1" applyBorder="1" applyAlignment="1">
      <alignment horizontal="right"/>
      <protection/>
    </xf>
    <xf numFmtId="0" fontId="6" fillId="0" borderId="21" xfId="57" applyFont="1" applyBorder="1">
      <alignment/>
      <protection/>
    </xf>
    <xf numFmtId="174" fontId="0" fillId="0" borderId="21" xfId="44" applyNumberFormat="1" applyFont="1" applyFill="1" applyBorder="1" applyAlignment="1" applyProtection="1">
      <alignment/>
      <protection/>
    </xf>
    <xf numFmtId="174" fontId="0" fillId="0" borderId="46" xfId="44" applyNumberFormat="1" applyFont="1" applyFill="1" applyBorder="1" applyAlignment="1" applyProtection="1">
      <alignment/>
      <protection/>
    </xf>
    <xf numFmtId="0" fontId="6" fillId="0" borderId="47" xfId="57" applyFont="1" applyBorder="1">
      <alignment/>
      <protection/>
    </xf>
    <xf numFmtId="0" fontId="6" fillId="0" borderId="48" xfId="57" applyFont="1" applyBorder="1">
      <alignment/>
      <protection/>
    </xf>
    <xf numFmtId="0" fontId="0" fillId="0" borderId="48" xfId="0" applyBorder="1" applyAlignment="1">
      <alignment/>
    </xf>
    <xf numFmtId="174" fontId="0" fillId="0" borderId="48" xfId="44" applyNumberFormat="1" applyFont="1" applyFill="1" applyBorder="1" applyAlignment="1" applyProtection="1">
      <alignment/>
      <protection/>
    </xf>
    <xf numFmtId="174" fontId="0" fillId="0" borderId="49" xfId="44" applyNumberFormat="1" applyFont="1" applyFill="1" applyBorder="1" applyAlignment="1" applyProtection="1">
      <alignment/>
      <protection/>
    </xf>
    <xf numFmtId="174" fontId="0" fillId="0" borderId="50" xfId="44" applyNumberFormat="1" applyFont="1" applyFill="1" applyBorder="1" applyAlignment="1" applyProtection="1">
      <alignment/>
      <protection/>
    </xf>
    <xf numFmtId="10" fontId="0" fillId="0" borderId="0" xfId="60" applyNumberFormat="1" applyFont="1" applyFill="1" applyBorder="1" applyAlignment="1" applyProtection="1">
      <alignment/>
      <protection/>
    </xf>
    <xf numFmtId="166" fontId="0" fillId="0" borderId="0" xfId="44" applyNumberFormat="1" applyFont="1" applyFill="1" applyBorder="1" applyAlignment="1" applyProtection="1">
      <alignment/>
      <protection/>
    </xf>
    <xf numFmtId="0" fontId="14" fillId="0" borderId="10" xfId="52" applyNumberFormat="1" applyFont="1" applyFill="1" applyBorder="1" applyAlignment="1" applyProtection="1">
      <alignment/>
      <protection/>
    </xf>
    <xf numFmtId="0" fontId="6" fillId="0" borderId="0" xfId="57" applyFont="1" applyBorder="1">
      <alignment/>
      <protection/>
    </xf>
    <xf numFmtId="0" fontId="14" fillId="0" borderId="0" xfId="52" applyNumberFormat="1" applyFont="1" applyFill="1" applyBorder="1" applyAlignment="1" applyProtection="1">
      <alignment/>
      <protection/>
    </xf>
    <xf numFmtId="0" fontId="0" fillId="33" borderId="42" xfId="57" applyFont="1" applyFill="1" applyBorder="1">
      <alignment/>
      <protection/>
    </xf>
    <xf numFmtId="0" fontId="15" fillId="0" borderId="10" xfId="57" applyFont="1" applyBorder="1">
      <alignment/>
      <protection/>
    </xf>
    <xf numFmtId="0" fontId="6" fillId="0" borderId="51" xfId="57" applyFont="1" applyBorder="1">
      <alignment/>
      <protection/>
    </xf>
    <xf numFmtId="0" fontId="6" fillId="0" borderId="21" xfId="57" applyFont="1" applyBorder="1" applyAlignment="1">
      <alignment horizontal="right"/>
      <protection/>
    </xf>
    <xf numFmtId="0" fontId="6" fillId="33" borderId="52" xfId="57" applyFont="1" applyFill="1" applyBorder="1">
      <alignment/>
      <protection/>
    </xf>
    <xf numFmtId="0" fontId="6" fillId="33" borderId="53" xfId="57" applyFont="1" applyFill="1" applyBorder="1">
      <alignment/>
      <protection/>
    </xf>
    <xf numFmtId="0" fontId="0" fillId="0" borderId="54" xfId="0" applyBorder="1" applyAlignment="1">
      <alignment/>
    </xf>
    <xf numFmtId="174" fontId="0" fillId="0" borderId="54" xfId="44" applyNumberFormat="1" applyFont="1" applyFill="1" applyBorder="1" applyAlignment="1" applyProtection="1">
      <alignment/>
      <protection/>
    </xf>
    <xf numFmtId="174" fontId="0" fillId="0" borderId="55" xfId="44" applyNumberFormat="1" applyFont="1" applyFill="1" applyBorder="1" applyAlignment="1" applyProtection="1">
      <alignment/>
      <protection/>
    </xf>
    <xf numFmtId="0" fontId="0" fillId="0" borderId="51" xfId="57" applyFont="1" applyBorder="1">
      <alignment/>
      <protection/>
    </xf>
    <xf numFmtId="0" fontId="6" fillId="0" borderId="41" xfId="57" applyFont="1" applyBorder="1">
      <alignment/>
      <protection/>
    </xf>
    <xf numFmtId="0" fontId="6" fillId="0" borderId="34" xfId="57" applyFont="1" applyBorder="1">
      <alignment/>
      <protection/>
    </xf>
    <xf numFmtId="174" fontId="6" fillId="33" borderId="50" xfId="44" applyNumberFormat="1" applyFont="1" applyFill="1" applyBorder="1" applyAlignment="1" applyProtection="1">
      <alignment/>
      <protection/>
    </xf>
    <xf numFmtId="0" fontId="12" fillId="33" borderId="56" xfId="57" applyFont="1" applyFill="1" applyBorder="1" applyAlignment="1">
      <alignment horizontal="left"/>
      <protection/>
    </xf>
    <xf numFmtId="0" fontId="6" fillId="33" borderId="57" xfId="57" applyFont="1" applyFill="1" applyBorder="1">
      <alignment/>
      <protection/>
    </xf>
    <xf numFmtId="0" fontId="0" fillId="0" borderId="57" xfId="0" applyBorder="1" applyAlignment="1">
      <alignment/>
    </xf>
    <xf numFmtId="174" fontId="0" fillId="0" borderId="57" xfId="44" applyNumberFormat="1" applyFont="1" applyFill="1" applyBorder="1" applyAlignment="1" applyProtection="1">
      <alignment/>
      <protection/>
    </xf>
    <xf numFmtId="174" fontId="12" fillId="34" borderId="58" xfId="44" applyNumberFormat="1" applyFont="1" applyFill="1" applyBorder="1" applyAlignment="1" applyProtection="1">
      <alignment/>
      <protection/>
    </xf>
    <xf numFmtId="0" fontId="0" fillId="0" borderId="0" xfId="0" applyFont="1" applyBorder="1" applyAlignment="1">
      <alignment horizontal="left"/>
    </xf>
    <xf numFmtId="0" fontId="0" fillId="0" borderId="0" xfId="0" applyFont="1" applyBorder="1" applyAlignment="1">
      <alignment horizontal="center"/>
    </xf>
    <xf numFmtId="0" fontId="17" fillId="35" borderId="0" xfId="0" applyFont="1" applyFill="1" applyBorder="1" applyAlignment="1">
      <alignment horizontal="left"/>
    </xf>
    <xf numFmtId="0" fontId="17" fillId="35" borderId="59" xfId="0" applyFont="1" applyFill="1" applyBorder="1" applyAlignment="1">
      <alignment horizontal="left"/>
    </xf>
    <xf numFmtId="0" fontId="17" fillId="35" borderId="59" xfId="0" applyFont="1" applyFill="1" applyBorder="1" applyAlignment="1">
      <alignment/>
    </xf>
    <xf numFmtId="0" fontId="17" fillId="35" borderId="0" xfId="0" applyFont="1" applyFill="1" applyBorder="1" applyAlignment="1">
      <alignment/>
    </xf>
    <xf numFmtId="0" fontId="18" fillId="35" borderId="0" xfId="0" applyFont="1" applyFill="1" applyBorder="1" applyAlignment="1">
      <alignment horizontal="center"/>
    </xf>
    <xf numFmtId="0" fontId="19" fillId="35" borderId="60" xfId="0" applyFont="1" applyFill="1" applyBorder="1" applyAlignment="1">
      <alignment horizontal="left"/>
    </xf>
    <xf numFmtId="0" fontId="19" fillId="35" borderId="0" xfId="0" applyFont="1" applyFill="1" applyBorder="1" applyAlignment="1">
      <alignment horizontal="right"/>
    </xf>
    <xf numFmtId="167" fontId="17" fillId="33" borderId="61" xfId="44" applyNumberFormat="1" applyFont="1" applyFill="1" applyBorder="1" applyAlignment="1" applyProtection="1">
      <alignment horizontal="right"/>
      <protection locked="0"/>
    </xf>
    <xf numFmtId="171" fontId="17" fillId="33" borderId="61" xfId="44" applyFont="1" applyFill="1" applyBorder="1" applyAlignment="1" applyProtection="1">
      <alignment horizontal="right"/>
      <protection/>
    </xf>
    <xf numFmtId="171" fontId="17" fillId="35" borderId="0" xfId="44" applyFont="1" applyFill="1" applyBorder="1" applyAlignment="1" applyProtection="1">
      <alignment horizontal="right"/>
      <protection/>
    </xf>
    <xf numFmtId="184" fontId="17" fillId="33" borderId="62" xfId="0" applyNumberFormat="1" applyFont="1" applyFill="1" applyBorder="1" applyAlignment="1" applyProtection="1">
      <alignment horizontal="right"/>
      <protection locked="0"/>
    </xf>
    <xf numFmtId="185" fontId="17" fillId="33" borderId="62" xfId="0" applyNumberFormat="1" applyFont="1" applyFill="1" applyBorder="1" applyAlignment="1">
      <alignment horizontal="right"/>
    </xf>
    <xf numFmtId="185" fontId="17" fillId="35" borderId="0" xfId="0" applyNumberFormat="1" applyFont="1" applyFill="1" applyBorder="1" applyAlignment="1">
      <alignment horizontal="right"/>
    </xf>
    <xf numFmtId="0" fontId="17" fillId="35" borderId="0" xfId="0" applyNumberFormat="1" applyFont="1" applyFill="1" applyBorder="1" applyAlignment="1">
      <alignment horizontal="left"/>
    </xf>
    <xf numFmtId="185" fontId="17" fillId="33" borderId="62" xfId="0" applyNumberFormat="1" applyFont="1" applyFill="1" applyBorder="1" applyAlignment="1" applyProtection="1">
      <alignment horizontal="right"/>
      <protection locked="0"/>
    </xf>
    <xf numFmtId="14" fontId="17" fillId="33" borderId="62" xfId="0" applyNumberFormat="1" applyFont="1" applyFill="1" applyBorder="1" applyAlignment="1" applyProtection="1">
      <alignment horizontal="right"/>
      <protection locked="0"/>
    </xf>
    <xf numFmtId="0" fontId="19" fillId="35" borderId="63" xfId="0" applyFont="1" applyFill="1" applyBorder="1" applyAlignment="1">
      <alignment horizontal="left"/>
    </xf>
    <xf numFmtId="0" fontId="19" fillId="35" borderId="59" xfId="0" applyFont="1" applyFill="1" applyBorder="1" applyAlignment="1">
      <alignment horizontal="right"/>
    </xf>
    <xf numFmtId="171" fontId="17" fillId="33" borderId="62" xfId="44" applyFont="1" applyFill="1" applyBorder="1" applyAlignment="1" applyProtection="1">
      <alignment horizontal="right"/>
      <protection locked="0"/>
    </xf>
    <xf numFmtId="0" fontId="18" fillId="35" borderId="0" xfId="0" applyFont="1" applyFill="1" applyBorder="1" applyAlignment="1">
      <alignment horizontal="right"/>
    </xf>
    <xf numFmtId="0" fontId="17" fillId="35" borderId="0" xfId="0" applyFont="1" applyFill="1" applyAlignment="1">
      <alignment/>
    </xf>
    <xf numFmtId="0" fontId="17" fillId="35" borderId="64" xfId="0" applyFont="1" applyFill="1" applyBorder="1" applyAlignment="1" applyProtection="1">
      <alignment horizontal="left"/>
      <protection locked="0"/>
    </xf>
    <xf numFmtId="0" fontId="18" fillId="35" borderId="0" xfId="0" applyFont="1" applyFill="1" applyBorder="1" applyAlignment="1" applyProtection="1">
      <alignment horizontal="left" wrapText="1"/>
      <protection/>
    </xf>
    <xf numFmtId="0" fontId="18" fillId="35" borderId="0" xfId="0" applyFont="1" applyFill="1" applyBorder="1" applyAlignment="1" applyProtection="1">
      <alignment horizontal="right" wrapText="1"/>
      <protection/>
    </xf>
    <xf numFmtId="0" fontId="0" fillId="0" borderId="0" xfId="0" applyFont="1" applyBorder="1" applyAlignment="1">
      <alignment wrapText="1"/>
    </xf>
    <xf numFmtId="0" fontId="0" fillId="35" borderId="59" xfId="0" applyFill="1" applyBorder="1" applyAlignment="1">
      <alignment horizontal="left"/>
    </xf>
    <xf numFmtId="0" fontId="6" fillId="35" borderId="59" xfId="0" applyFont="1" applyFill="1" applyBorder="1" applyAlignment="1" applyProtection="1">
      <alignment horizontal="left" wrapText="1" indent="2"/>
      <protection/>
    </xf>
    <xf numFmtId="0" fontId="6" fillId="35" borderId="59" xfId="0" applyFont="1" applyFill="1" applyBorder="1" applyAlignment="1" applyProtection="1">
      <alignment horizontal="left" wrapText="1" indent="3"/>
      <protection/>
    </xf>
    <xf numFmtId="0" fontId="20" fillId="35" borderId="0" xfId="0" applyFont="1" applyFill="1" applyBorder="1" applyAlignment="1">
      <alignment horizontal="left"/>
    </xf>
    <xf numFmtId="14" fontId="20" fillId="35" borderId="0" xfId="0" applyNumberFormat="1" applyFont="1" applyFill="1" applyBorder="1" applyAlignment="1">
      <alignment horizontal="right"/>
    </xf>
    <xf numFmtId="171" fontId="20" fillId="35" borderId="0" xfId="44" applyFont="1" applyFill="1" applyBorder="1" applyAlignment="1" applyProtection="1">
      <alignment horizontal="right"/>
      <protection/>
    </xf>
    <xf numFmtId="39" fontId="20" fillId="35" borderId="0" xfId="44" applyNumberFormat="1" applyFont="1" applyFill="1" applyBorder="1" applyAlignment="1" applyProtection="1">
      <alignment horizontal="right"/>
      <protection/>
    </xf>
    <xf numFmtId="175" fontId="20" fillId="35" borderId="0" xfId="44" applyNumberFormat="1" applyFont="1" applyFill="1" applyBorder="1" applyAlignment="1" applyProtection="1">
      <alignment horizontal="right"/>
      <protection/>
    </xf>
    <xf numFmtId="0" fontId="56" fillId="0" borderId="0" xfId="0" applyFont="1" applyAlignment="1">
      <alignment/>
    </xf>
    <xf numFmtId="0" fontId="0" fillId="0" borderId="16" xfId="0" applyBorder="1" applyAlignment="1">
      <alignment/>
    </xf>
    <xf numFmtId="0" fontId="6" fillId="33" borderId="47" xfId="0" applyFont="1" applyFill="1" applyBorder="1" applyAlignment="1">
      <alignment/>
    </xf>
    <xf numFmtId="0" fontId="6" fillId="33" borderId="48" xfId="0" applyFont="1" applyFill="1" applyBorder="1" applyAlignment="1">
      <alignment/>
    </xf>
    <xf numFmtId="167" fontId="6" fillId="33" borderId="49" xfId="42" applyNumberFormat="1" applyFont="1" applyFill="1" applyBorder="1" applyAlignment="1" applyProtection="1">
      <alignment horizontal="right"/>
      <protection/>
    </xf>
    <xf numFmtId="0" fontId="6" fillId="0" borderId="65" xfId="0" applyFont="1" applyFill="1" applyBorder="1" applyAlignment="1">
      <alignment/>
    </xf>
    <xf numFmtId="10" fontId="6" fillId="0" borderId="66" xfId="0" applyNumberFormat="1" applyFont="1" applyBorder="1" applyAlignment="1">
      <alignment/>
    </xf>
    <xf numFmtId="169" fontId="6" fillId="0" borderId="67" xfId="60" applyNumberFormat="1" applyFont="1" applyFill="1" applyBorder="1" applyAlignment="1" applyProtection="1">
      <alignment/>
      <protection/>
    </xf>
    <xf numFmtId="0" fontId="0" fillId="0" borderId="0" xfId="0" applyFill="1" applyBorder="1" applyAlignment="1">
      <alignment wrapText="1"/>
    </xf>
    <xf numFmtId="0" fontId="6" fillId="0" borderId="0" xfId="0" applyFont="1" applyFill="1" applyBorder="1" applyAlignment="1">
      <alignment/>
    </xf>
    <xf numFmtId="174" fontId="6" fillId="0" borderId="0" xfId="0" applyNumberFormat="1" applyFont="1" applyBorder="1" applyAlignment="1">
      <alignment horizontal="center"/>
    </xf>
    <xf numFmtId="174" fontId="6" fillId="0" borderId="29" xfId="0" applyNumberFormat="1" applyFont="1" applyBorder="1" applyAlignment="1">
      <alignment/>
    </xf>
    <xf numFmtId="167" fontId="6" fillId="0" borderId="0" xfId="42" applyNumberFormat="1" applyFont="1" applyFill="1" applyBorder="1" applyAlignment="1" applyProtection="1">
      <alignment/>
      <protection/>
    </xf>
    <xf numFmtId="0" fontId="6" fillId="33" borderId="0" xfId="0" applyNumberFormat="1" applyFont="1" applyFill="1" applyBorder="1" applyAlignment="1">
      <alignment wrapText="1"/>
    </xf>
    <xf numFmtId="0" fontId="0" fillId="0" borderId="0" xfId="0" applyBorder="1" applyAlignment="1">
      <alignment horizontal="right"/>
    </xf>
    <xf numFmtId="0" fontId="0" fillId="0" borderId="68" xfId="0" applyFont="1" applyFill="1" applyBorder="1" applyAlignment="1">
      <alignment/>
    </xf>
    <xf numFmtId="0" fontId="0" fillId="0" borderId="69" xfId="0" applyFont="1" applyFill="1" applyBorder="1" applyAlignment="1">
      <alignment/>
    </xf>
    <xf numFmtId="9" fontId="0" fillId="0" borderId="69" xfId="60" applyFont="1" applyFill="1" applyBorder="1" applyAlignment="1" applyProtection="1">
      <alignment horizontal="right"/>
      <protection/>
    </xf>
    <xf numFmtId="3" fontId="0" fillId="0" borderId="69" xfId="0" applyNumberFormat="1" applyFill="1" applyBorder="1" applyAlignment="1">
      <alignment/>
    </xf>
    <xf numFmtId="3" fontId="0" fillId="0" borderId="70" xfId="0" applyNumberFormat="1" applyBorder="1" applyAlignment="1">
      <alignment horizontal="right"/>
    </xf>
    <xf numFmtId="0" fontId="0" fillId="0" borderId="71" xfId="0" applyFont="1" applyFill="1" applyBorder="1" applyAlignment="1">
      <alignment/>
    </xf>
    <xf numFmtId="3" fontId="0" fillId="0" borderId="72" xfId="0" applyNumberFormat="1" applyBorder="1" applyAlignment="1">
      <alignment horizontal="right"/>
    </xf>
    <xf numFmtId="0" fontId="0" fillId="0" borderId="71" xfId="0" applyBorder="1" applyAlignment="1">
      <alignment/>
    </xf>
    <xf numFmtId="0" fontId="0" fillId="0" borderId="72" xfId="0" applyBorder="1" applyAlignment="1">
      <alignment/>
    </xf>
    <xf numFmtId="0" fontId="0" fillId="0" borderId="71" xfId="0" applyFont="1" applyFill="1" applyBorder="1" applyAlignment="1">
      <alignment horizontal="left"/>
    </xf>
    <xf numFmtId="0" fontId="0" fillId="0" borderId="71" xfId="0" applyFill="1" applyBorder="1" applyAlignment="1">
      <alignment horizontal="right"/>
    </xf>
    <xf numFmtId="0" fontId="0" fillId="0" borderId="73" xfId="0" applyFont="1" applyFill="1" applyBorder="1" applyAlignment="1">
      <alignment horizontal="right"/>
    </xf>
    <xf numFmtId="0" fontId="0" fillId="0" borderId="74" xfId="0" applyFont="1" applyBorder="1" applyAlignment="1">
      <alignment/>
    </xf>
    <xf numFmtId="0" fontId="0" fillId="0" borderId="75" xfId="0" applyBorder="1" applyAlignment="1">
      <alignment/>
    </xf>
    <xf numFmtId="174" fontId="0" fillId="0" borderId="0" xfId="44" applyNumberFormat="1" applyBorder="1" applyAlignment="1">
      <alignment/>
    </xf>
    <xf numFmtId="0" fontId="6" fillId="0" borderId="68" xfId="0" applyFont="1" applyBorder="1" applyAlignment="1">
      <alignment horizontal="left"/>
    </xf>
    <xf numFmtId="169" fontId="6" fillId="0" borderId="69" xfId="0" applyNumberFormat="1" applyFont="1" applyBorder="1" applyAlignment="1">
      <alignment/>
    </xf>
    <xf numFmtId="0" fontId="0" fillId="0" borderId="69" xfId="0" applyBorder="1" applyAlignment="1">
      <alignment/>
    </xf>
    <xf numFmtId="10" fontId="0" fillId="0" borderId="0" xfId="60" applyNumberFormat="1" applyBorder="1" applyAlignment="1">
      <alignment/>
    </xf>
    <xf numFmtId="0" fontId="6" fillId="33" borderId="76" xfId="0" applyFont="1" applyFill="1" applyBorder="1" applyAlignment="1">
      <alignment/>
    </xf>
    <xf numFmtId="0" fontId="6" fillId="33" borderId="74" xfId="0" applyFont="1" applyFill="1" applyBorder="1" applyAlignment="1">
      <alignment/>
    </xf>
    <xf numFmtId="171" fontId="6" fillId="33" borderId="74" xfId="44" applyFont="1" applyFill="1" applyBorder="1" applyAlignment="1" applyProtection="1">
      <alignment horizontal="right"/>
      <protection/>
    </xf>
    <xf numFmtId="177" fontId="6" fillId="33" borderId="77" xfId="0" applyNumberFormat="1" applyFont="1" applyFill="1" applyBorder="1" applyAlignment="1">
      <alignment horizontal="right"/>
    </xf>
    <xf numFmtId="169" fontId="6" fillId="34" borderId="78" xfId="0" applyNumberFormat="1" applyFont="1" applyFill="1" applyBorder="1" applyAlignment="1">
      <alignment horizontal="center"/>
    </xf>
    <xf numFmtId="166" fontId="0" fillId="33" borderId="37" xfId="0" applyNumberFormat="1" applyFont="1" applyFill="1" applyBorder="1" applyAlignment="1">
      <alignment/>
    </xf>
    <xf numFmtId="10" fontId="0" fillId="0" borderId="0" xfId="0" applyNumberFormat="1" applyFont="1" applyBorder="1" applyAlignment="1">
      <alignment/>
    </xf>
    <xf numFmtId="169" fontId="0" fillId="33" borderId="15" xfId="0" applyNumberFormat="1" applyFill="1" applyBorder="1" applyAlignment="1">
      <alignment/>
    </xf>
    <xf numFmtId="180" fontId="0" fillId="33" borderId="33" xfId="0" applyNumberFormat="1" applyFill="1" applyBorder="1" applyAlignment="1">
      <alignment/>
    </xf>
    <xf numFmtId="0" fontId="11" fillId="0" borderId="0" xfId="0" applyFont="1" applyFill="1" applyBorder="1" applyAlignment="1">
      <alignment horizontal="center"/>
    </xf>
    <xf numFmtId="10" fontId="0" fillId="0" borderId="0" xfId="0" applyNumberFormat="1" applyFont="1" applyFill="1" applyBorder="1" applyAlignment="1">
      <alignment/>
    </xf>
    <xf numFmtId="10" fontId="0" fillId="0" borderId="0" xfId="0" applyNumberFormat="1" applyFill="1" applyBorder="1" applyAlignment="1">
      <alignment/>
    </xf>
    <xf numFmtId="174" fontId="6" fillId="0" borderId="0" xfId="0" applyNumberFormat="1" applyFont="1" applyFill="1" applyBorder="1" applyAlignment="1">
      <alignment/>
    </xf>
    <xf numFmtId="169" fontId="0" fillId="0" borderId="0" xfId="0" applyNumberFormat="1" applyFill="1" applyBorder="1" applyAlignment="1">
      <alignment/>
    </xf>
    <xf numFmtId="180" fontId="0" fillId="0" borderId="0" xfId="0" applyNumberFormat="1" applyFill="1" applyBorder="1" applyAlignment="1">
      <alignment/>
    </xf>
    <xf numFmtId="166" fontId="6" fillId="0" borderId="0" xfId="0" applyNumberFormat="1" applyFont="1" applyFill="1" applyBorder="1" applyAlignment="1">
      <alignment/>
    </xf>
    <xf numFmtId="166" fontId="0" fillId="0" borderId="0" xfId="0" applyNumberFormat="1" applyFill="1" applyBorder="1" applyAlignment="1">
      <alignment/>
    </xf>
    <xf numFmtId="37" fontId="0" fillId="0" borderId="71" xfId="0" applyNumberFormat="1" applyFill="1" applyBorder="1" applyAlignment="1">
      <alignment/>
    </xf>
    <xf numFmtId="0" fontId="11" fillId="0" borderId="71" xfId="0" applyFont="1" applyFill="1" applyBorder="1" applyAlignment="1">
      <alignment horizontal="center"/>
    </xf>
    <xf numFmtId="169" fontId="0" fillId="0" borderId="71" xfId="0" applyNumberFormat="1" applyFill="1" applyBorder="1" applyAlignment="1">
      <alignment/>
    </xf>
    <xf numFmtId="180" fontId="0" fillId="0" borderId="71" xfId="0" applyNumberFormat="1" applyFill="1" applyBorder="1" applyAlignment="1">
      <alignment/>
    </xf>
    <xf numFmtId="166" fontId="6" fillId="0" borderId="71" xfId="0" applyNumberFormat="1" applyFont="1" applyFill="1" applyBorder="1" applyAlignment="1">
      <alignment/>
    </xf>
    <xf numFmtId="0" fontId="0" fillId="0" borderId="71" xfId="0" applyFill="1" applyBorder="1" applyAlignment="1">
      <alignment/>
    </xf>
    <xf numFmtId="10" fontId="0" fillId="0" borderId="30" xfId="0" applyNumberFormat="1" applyFill="1" applyBorder="1" applyAlignment="1">
      <alignment/>
    </xf>
    <xf numFmtId="186" fontId="6" fillId="33" borderId="0" xfId="44" applyNumberFormat="1" applyFont="1" applyFill="1" applyBorder="1" applyAlignment="1">
      <alignment wrapText="1"/>
    </xf>
    <xf numFmtId="186" fontId="6" fillId="33" borderId="0" xfId="44" applyNumberFormat="1" applyFont="1" applyFill="1" applyBorder="1" applyAlignment="1" applyProtection="1">
      <alignment wrapText="1"/>
      <protection/>
    </xf>
    <xf numFmtId="0" fontId="21" fillId="0" borderId="31" xfId="0" applyFont="1" applyFill="1" applyBorder="1" applyAlignment="1">
      <alignment horizontal="right"/>
    </xf>
    <xf numFmtId="38" fontId="0" fillId="33" borderId="36" xfId="44" applyNumberFormat="1" applyFill="1" applyBorder="1" applyAlignment="1">
      <alignment/>
    </xf>
    <xf numFmtId="187" fontId="6" fillId="0" borderId="30" xfId="0" applyNumberFormat="1" applyFont="1" applyBorder="1" applyAlignment="1">
      <alignment/>
    </xf>
    <xf numFmtId="187" fontId="6" fillId="0" borderId="0" xfId="0" applyNumberFormat="1" applyFont="1" applyBorder="1" applyAlignment="1">
      <alignment/>
    </xf>
    <xf numFmtId="38" fontId="0" fillId="0" borderId="73" xfId="0" applyNumberFormat="1" applyBorder="1" applyAlignment="1">
      <alignment horizontal="center"/>
    </xf>
    <xf numFmtId="174" fontId="6" fillId="0" borderId="37" xfId="44" applyNumberFormat="1" applyFont="1" applyFill="1" applyBorder="1" applyAlignment="1" applyProtection="1">
      <alignment/>
      <protection/>
    </xf>
    <xf numFmtId="174" fontId="6" fillId="0" borderId="0" xfId="0" applyNumberFormat="1" applyFont="1" applyFill="1" applyBorder="1" applyAlignment="1">
      <alignment horizontal="left"/>
    </xf>
    <xf numFmtId="10" fontId="0" fillId="0" borderId="0" xfId="0" applyNumberFormat="1" applyFill="1" applyAlignment="1">
      <alignment/>
    </xf>
    <xf numFmtId="0" fontId="6" fillId="0" borderId="79" xfId="0" applyFont="1" applyBorder="1" applyAlignment="1">
      <alignment/>
    </xf>
    <xf numFmtId="9" fontId="0" fillId="0" borderId="0" xfId="60" applyAlignment="1">
      <alignment/>
    </xf>
    <xf numFmtId="186" fontId="6" fillId="0" borderId="0" xfId="44" applyNumberFormat="1" applyFont="1" applyFill="1" applyBorder="1" applyAlignment="1" applyProtection="1">
      <alignment wrapText="1"/>
      <protection/>
    </xf>
    <xf numFmtId="171" fontId="6" fillId="0" borderId="0" xfId="44" applyFont="1" applyFill="1" applyBorder="1" applyAlignment="1" applyProtection="1">
      <alignment horizontal="left"/>
      <protection/>
    </xf>
    <xf numFmtId="9" fontId="6" fillId="0" borderId="0" xfId="44" applyNumberFormat="1" applyFont="1" applyFill="1" applyBorder="1" applyAlignment="1" applyProtection="1">
      <alignment horizontal="right"/>
      <protection/>
    </xf>
    <xf numFmtId="38" fontId="0" fillId="0" borderId="0" xfId="0" applyNumberFormat="1" applyBorder="1" applyAlignment="1">
      <alignment horizontal="center"/>
    </xf>
    <xf numFmtId="0" fontId="0" fillId="0" borderId="70" xfId="0" applyBorder="1" applyAlignment="1">
      <alignment/>
    </xf>
    <xf numFmtId="37" fontId="0" fillId="0" borderId="74" xfId="0" applyNumberFormat="1" applyBorder="1" applyAlignment="1">
      <alignment/>
    </xf>
    <xf numFmtId="37" fontId="0" fillId="0" borderId="75" xfId="0" applyNumberFormat="1" applyBorder="1" applyAlignment="1">
      <alignment/>
    </xf>
    <xf numFmtId="0" fontId="6" fillId="0" borderId="0" xfId="0" applyFont="1" applyBorder="1" applyAlignment="1">
      <alignment horizontal="left"/>
    </xf>
    <xf numFmtId="169" fontId="9" fillId="0" borderId="0" xfId="0" applyNumberFormat="1" applyFont="1" applyAlignment="1">
      <alignment/>
    </xf>
    <xf numFmtId="169" fontId="9" fillId="0" borderId="17" xfId="0" applyNumberFormat="1" applyFont="1" applyBorder="1" applyAlignment="1">
      <alignment/>
    </xf>
    <xf numFmtId="174" fontId="0" fillId="0" borderId="0" xfId="0" applyNumberFormat="1" applyFill="1" applyBorder="1" applyAlignment="1">
      <alignment/>
    </xf>
    <xf numFmtId="43" fontId="0" fillId="0" borderId="0" xfId="0" applyNumberFormat="1" applyFill="1" applyBorder="1" applyAlignment="1">
      <alignment/>
    </xf>
    <xf numFmtId="43" fontId="0" fillId="0" borderId="0" xfId="0" applyNumberFormat="1" applyAlignment="1">
      <alignment/>
    </xf>
    <xf numFmtId="169" fontId="6" fillId="33" borderId="0" xfId="60" applyNumberFormat="1" applyFont="1" applyFill="1" applyBorder="1" applyAlignment="1">
      <alignment horizontal="right"/>
    </xf>
    <xf numFmtId="186" fontId="0" fillId="0" borderId="13" xfId="0" applyNumberFormat="1" applyBorder="1" applyAlignment="1">
      <alignment horizontal="right"/>
    </xf>
    <xf numFmtId="186" fontId="0" fillId="0" borderId="0" xfId="0" applyNumberFormat="1" applyBorder="1" applyAlignment="1">
      <alignment horizontal="right"/>
    </xf>
    <xf numFmtId="186" fontId="0" fillId="0" borderId="0" xfId="0" applyNumberFormat="1" applyBorder="1" applyAlignment="1">
      <alignment/>
    </xf>
    <xf numFmtId="169" fontId="0" fillId="0" borderId="0" xfId="60" applyNumberFormat="1" applyAlignment="1">
      <alignment/>
    </xf>
    <xf numFmtId="0" fontId="0" fillId="0" borderId="16" xfId="0" applyFill="1" applyBorder="1" applyAlignment="1">
      <alignment/>
    </xf>
    <xf numFmtId="166" fontId="6" fillId="36" borderId="80" xfId="0" applyNumberFormat="1" applyFont="1" applyFill="1" applyBorder="1" applyAlignment="1">
      <alignment horizontal="right"/>
    </xf>
    <xf numFmtId="173" fontId="9" fillId="36" borderId="80" xfId="0" applyNumberFormat="1" applyFont="1" applyFill="1" applyBorder="1" applyAlignment="1">
      <alignment horizontal="right"/>
    </xf>
    <xf numFmtId="0" fontId="6" fillId="22" borderId="0" xfId="0" applyFont="1" applyFill="1" applyBorder="1" applyAlignment="1">
      <alignment/>
    </xf>
    <xf numFmtId="0" fontId="0" fillId="0" borderId="71" xfId="0" applyFont="1" applyBorder="1" applyAlignment="1">
      <alignment/>
    </xf>
    <xf numFmtId="167" fontId="0" fillId="0" borderId="72" xfId="42" applyNumberFormat="1" applyFont="1" applyFill="1" applyBorder="1" applyAlignment="1" applyProtection="1">
      <alignment/>
      <protection/>
    </xf>
    <xf numFmtId="167" fontId="6" fillId="33" borderId="81" xfId="42" applyNumberFormat="1" applyFont="1" applyFill="1" applyBorder="1" applyAlignment="1" applyProtection="1">
      <alignment horizontal="right"/>
      <protection/>
    </xf>
    <xf numFmtId="167" fontId="0" fillId="0" borderId="72" xfId="42" applyNumberFormat="1" applyFont="1" applyFill="1" applyBorder="1" applyAlignment="1" applyProtection="1">
      <alignment horizontal="right"/>
      <protection/>
    </xf>
    <xf numFmtId="169" fontId="0" fillId="0" borderId="0" xfId="0" applyNumberFormat="1" applyAlignment="1">
      <alignment/>
    </xf>
    <xf numFmtId="0" fontId="6" fillId="36" borderId="82" xfId="0" applyFont="1" applyFill="1" applyBorder="1" applyAlignment="1">
      <alignment horizontal="center"/>
    </xf>
    <xf numFmtId="169" fontId="0" fillId="0" borderId="0" xfId="60" applyNumberFormat="1" applyFill="1" applyBorder="1" applyAlignment="1">
      <alignment horizontal="center"/>
    </xf>
    <xf numFmtId="0" fontId="6" fillId="33" borderId="37" xfId="0" applyFont="1" applyFill="1" applyBorder="1" applyAlignment="1">
      <alignment horizontal="center"/>
    </xf>
    <xf numFmtId="0" fontId="3" fillId="0" borderId="83" xfId="0" applyFont="1" applyFill="1" applyBorder="1" applyAlignment="1">
      <alignment horizontal="center" wrapText="1"/>
    </xf>
    <xf numFmtId="164" fontId="5" fillId="0" borderId="40" xfId="0" applyNumberFormat="1" applyFont="1" applyFill="1" applyBorder="1" applyAlignment="1">
      <alignment horizontal="center" wrapText="1"/>
    </xf>
    <xf numFmtId="0" fontId="3" fillId="0" borderId="83" xfId="57" applyFont="1" applyFill="1" applyBorder="1" applyAlignment="1">
      <alignment horizontal="center" wrapText="1"/>
      <protection/>
    </xf>
    <xf numFmtId="182" fontId="6" fillId="0" borderId="40" xfId="0" applyNumberFormat="1" applyFont="1" applyBorder="1" applyAlignment="1">
      <alignment horizontal="center" wrapText="1"/>
    </xf>
    <xf numFmtId="0" fontId="16" fillId="35" borderId="0" xfId="0" applyFont="1" applyFill="1" applyBorder="1" applyAlignment="1">
      <alignment horizontal="left"/>
    </xf>
    <xf numFmtId="0" fontId="18" fillId="35" borderId="62" xfId="0" applyFont="1" applyFill="1" applyBorder="1" applyAlignment="1">
      <alignment horizontal="right"/>
    </xf>
    <xf numFmtId="0" fontId="17" fillId="35" borderId="84"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60th &amp; Glisan - Center Station" xfId="56"/>
    <cellStyle name="Normal_HWD PDC Application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9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86"/>
  <sheetViews>
    <sheetView tabSelected="1" zoomScale="85" zoomScaleNormal="85" zoomScalePageLayoutView="0" workbookViewId="0" topLeftCell="A1">
      <selection activeCell="G53" sqref="G53"/>
    </sheetView>
  </sheetViews>
  <sheetFormatPr defaultColWidth="8.8515625" defaultRowHeight="4.5" customHeight="1"/>
  <cols>
    <col min="1" max="1" width="33.00390625" style="0" customWidth="1"/>
    <col min="2" max="2" width="6.8515625" style="0" customWidth="1"/>
    <col min="3" max="3" width="12.421875" style="0" customWidth="1"/>
    <col min="4" max="4" width="11.421875" style="0" customWidth="1"/>
    <col min="5" max="5" width="12.421875" style="0" customWidth="1"/>
    <col min="6" max="6" width="8.8515625" style="0" customWidth="1"/>
    <col min="7" max="7" width="35.8515625" style="0" customWidth="1"/>
    <col min="8" max="8" width="12.8515625" style="0" customWidth="1"/>
    <col min="9" max="9" width="16.7109375" style="0" customWidth="1"/>
    <col min="10" max="17" width="16.421875" style="0" customWidth="1"/>
    <col min="18" max="22" width="11.7109375" style="0" customWidth="1"/>
    <col min="23" max="23" width="13.421875" style="0" customWidth="1"/>
  </cols>
  <sheetData>
    <row r="1" spans="1:9" ht="23.25" customHeight="1">
      <c r="A1" s="409" t="s">
        <v>265</v>
      </c>
      <c r="B1" s="409"/>
      <c r="C1" s="409"/>
      <c r="D1" s="409"/>
      <c r="E1" s="409"/>
      <c r="F1" s="409"/>
      <c r="G1" s="409"/>
      <c r="H1" s="409"/>
      <c r="I1" s="409"/>
    </row>
    <row r="2" spans="1:9" ht="12.75" customHeight="1">
      <c r="A2" s="1"/>
      <c r="B2" s="2"/>
      <c r="C2" s="2"/>
      <c r="D2" s="2"/>
      <c r="E2" s="2"/>
      <c r="F2" s="2"/>
      <c r="G2" s="2"/>
      <c r="H2" s="2"/>
      <c r="I2" s="3"/>
    </row>
    <row r="3" spans="1:9" ht="12.75" customHeight="1">
      <c r="A3" s="410">
        <v>42370</v>
      </c>
      <c r="B3" s="410"/>
      <c r="C3" s="410"/>
      <c r="D3" s="410"/>
      <c r="E3" s="410"/>
      <c r="F3" s="410"/>
      <c r="G3" s="410"/>
      <c r="H3" s="410"/>
      <c r="I3" s="410"/>
    </row>
    <row r="5" spans="1:19" ht="12.75">
      <c r="A5" s="408" t="s">
        <v>0</v>
      </c>
      <c r="B5" s="408"/>
      <c r="C5" s="408"/>
      <c r="D5" s="408"/>
      <c r="E5" s="408"/>
      <c r="G5" s="408" t="s">
        <v>1</v>
      </c>
      <c r="H5" s="408"/>
      <c r="I5" s="408"/>
      <c r="L5" s="318"/>
      <c r="M5" s="318"/>
      <c r="N5" s="318"/>
      <c r="O5" s="5"/>
      <c r="P5" s="5"/>
      <c r="Q5" s="5"/>
      <c r="R5" s="5"/>
      <c r="S5" s="5"/>
    </row>
    <row r="6" spans="1:19" ht="15.75">
      <c r="A6" s="6" t="s">
        <v>2</v>
      </c>
      <c r="B6" s="7"/>
      <c r="C6" s="8"/>
      <c r="D6" s="8"/>
      <c r="E6" s="9">
        <f>80*170</f>
        <v>13600</v>
      </c>
      <c r="G6" s="6" t="s">
        <v>3</v>
      </c>
      <c r="H6" s="7"/>
      <c r="I6" s="10">
        <f>H22</f>
        <v>0.0425</v>
      </c>
      <c r="L6" s="11"/>
      <c r="M6" s="5"/>
      <c r="N6" s="12"/>
      <c r="O6" s="5"/>
      <c r="P6" s="13"/>
      <c r="Q6" s="5"/>
      <c r="R6" s="5"/>
      <c r="S6" s="5"/>
    </row>
    <row r="7" spans="1:19" ht="12.75">
      <c r="A7" s="22" t="s">
        <v>4</v>
      </c>
      <c r="B7" s="22"/>
      <c r="C7" s="323"/>
      <c r="D7" s="323"/>
      <c r="E7" s="27">
        <v>6</v>
      </c>
      <c r="G7" s="15" t="s">
        <v>5</v>
      </c>
      <c r="H7" s="16"/>
      <c r="I7" s="17">
        <v>30</v>
      </c>
      <c r="L7" s="11"/>
      <c r="M7" s="5"/>
      <c r="N7" s="12"/>
      <c r="O7" s="5"/>
      <c r="P7" s="317"/>
      <c r="Q7" s="317"/>
      <c r="R7" s="317"/>
      <c r="S7" s="317"/>
    </row>
    <row r="8" spans="1:19" ht="12.75">
      <c r="A8" s="324" t="s">
        <v>6</v>
      </c>
      <c r="B8" s="325" t="s">
        <v>7</v>
      </c>
      <c r="C8" s="326"/>
      <c r="D8" s="327">
        <v>6</v>
      </c>
      <c r="E8" s="328">
        <f>3792+3792+3919+3919+4041+4041+4168+4168+4297+4297</f>
        <v>40434</v>
      </c>
      <c r="F8" s="18"/>
      <c r="G8" s="19" t="s">
        <v>8</v>
      </c>
      <c r="H8" s="20"/>
      <c r="I8" s="21">
        <f>H30</f>
        <v>12644891.820000002</v>
      </c>
      <c r="J8" s="22"/>
      <c r="L8" s="11"/>
      <c r="M8" s="5"/>
      <c r="N8" s="23"/>
      <c r="O8" s="5"/>
      <c r="P8" s="317"/>
      <c r="Q8" s="317"/>
      <c r="R8" s="317"/>
      <c r="S8" s="317"/>
    </row>
    <row r="9" spans="1:19" ht="12.75">
      <c r="A9" s="329" t="s">
        <v>9</v>
      </c>
      <c r="B9" s="5"/>
      <c r="C9" s="25"/>
      <c r="D9" s="26"/>
      <c r="E9" s="330">
        <f>3667+2410</f>
        <v>6077</v>
      </c>
      <c r="G9" s="19" t="s">
        <v>10</v>
      </c>
      <c r="H9" s="16"/>
      <c r="I9" s="28">
        <f>I25</f>
        <v>21074819.700000003</v>
      </c>
      <c r="L9" s="11"/>
      <c r="M9" s="5"/>
      <c r="N9" s="23"/>
      <c r="O9" s="5"/>
      <c r="P9" s="317"/>
      <c r="Q9" s="317"/>
      <c r="R9" s="317"/>
      <c r="S9" s="317"/>
    </row>
    <row r="10" spans="1:19" ht="12.75">
      <c r="A10" s="331" t="s">
        <v>234</v>
      </c>
      <c r="B10" s="33"/>
      <c r="C10" s="34"/>
      <c r="D10" s="30"/>
      <c r="E10" s="330">
        <f>200+1290</f>
        <v>1490</v>
      </c>
      <c r="G10" s="19" t="s">
        <v>11</v>
      </c>
      <c r="H10" s="16"/>
      <c r="I10" s="31">
        <f>I8/I9</f>
        <v>0.6</v>
      </c>
      <c r="L10" s="11"/>
      <c r="M10" s="5"/>
      <c r="N10" s="32"/>
      <c r="O10" s="5"/>
      <c r="P10" s="317"/>
      <c r="Q10" s="317"/>
      <c r="R10" s="317"/>
      <c r="S10" s="317"/>
    </row>
    <row r="11" spans="1:19" ht="12.75">
      <c r="A11" s="331"/>
      <c r="B11" s="16"/>
      <c r="C11" s="16"/>
      <c r="D11" s="16"/>
      <c r="E11" s="332"/>
      <c r="G11" s="19" t="s">
        <v>13</v>
      </c>
      <c r="H11" s="16"/>
      <c r="I11" s="31">
        <f>I8/E48</f>
        <v>0.7066263953128887</v>
      </c>
      <c r="L11" s="11"/>
      <c r="M11" s="5"/>
      <c r="N11" s="11"/>
      <c r="O11" s="5"/>
      <c r="P11" s="317"/>
      <c r="Q11" s="317"/>
      <c r="R11" s="317"/>
      <c r="S11" s="317"/>
    </row>
    <row r="12" spans="1:19" ht="12" customHeight="1">
      <c r="A12" s="333" t="s">
        <v>12</v>
      </c>
      <c r="B12" s="5"/>
      <c r="C12" s="25"/>
      <c r="D12" s="30"/>
      <c r="E12" s="330">
        <v>0</v>
      </c>
      <c r="G12" s="19" t="s">
        <v>14</v>
      </c>
      <c r="H12" s="16"/>
      <c r="I12" s="31">
        <f>(I8-I39)/I25</f>
        <v>0.7067624792064058</v>
      </c>
      <c r="L12" s="11"/>
      <c r="M12" s="5"/>
      <c r="N12" s="36"/>
      <c r="O12" s="5"/>
      <c r="P12" s="13"/>
      <c r="Q12" s="5"/>
      <c r="R12" s="5"/>
      <c r="S12" s="5"/>
    </row>
    <row r="13" spans="1:19" ht="12.75">
      <c r="A13" s="331"/>
      <c r="B13" s="16"/>
      <c r="C13" s="16"/>
      <c r="D13" s="16"/>
      <c r="E13" s="332"/>
      <c r="G13" s="35" t="s">
        <v>15</v>
      </c>
      <c r="H13" s="16"/>
      <c r="I13" s="38">
        <v>1</v>
      </c>
      <c r="L13" s="11"/>
      <c r="M13" s="5"/>
      <c r="N13" s="11"/>
      <c r="O13" s="5"/>
      <c r="P13" s="5"/>
      <c r="Q13" s="5"/>
      <c r="R13" s="5"/>
      <c r="S13" s="5"/>
    </row>
    <row r="14" spans="1:19" ht="12.75">
      <c r="A14" s="329" t="s">
        <v>16</v>
      </c>
      <c r="B14" s="5">
        <v>10</v>
      </c>
      <c r="C14" s="25"/>
      <c r="D14" s="37"/>
      <c r="E14" s="330"/>
      <c r="G14" s="19" t="s">
        <v>231</v>
      </c>
      <c r="H14" s="39"/>
      <c r="I14" s="40">
        <v>300000</v>
      </c>
      <c r="J14" s="41"/>
      <c r="K14" s="42"/>
      <c r="L14" s="11"/>
      <c r="M14" s="5"/>
      <c r="N14" s="11"/>
      <c r="O14" s="5"/>
      <c r="P14" s="5"/>
      <c r="Q14" s="5"/>
      <c r="R14" s="5"/>
      <c r="S14" s="5"/>
    </row>
    <row r="15" spans="1:19" ht="12.75">
      <c r="A15" s="334" t="s">
        <v>17</v>
      </c>
      <c r="B15" s="16">
        <v>6</v>
      </c>
      <c r="C15" s="25"/>
      <c r="D15" s="16"/>
      <c r="E15" s="330"/>
      <c r="G15" s="19" t="s">
        <v>263</v>
      </c>
      <c r="H15" s="39">
        <f>H58+H60</f>
        <v>2550000</v>
      </c>
      <c r="I15" s="43">
        <f>J15*H15*1</f>
        <v>204000</v>
      </c>
      <c r="J15" s="41">
        <v>0.08</v>
      </c>
      <c r="K15" s="53" t="s">
        <v>220</v>
      </c>
      <c r="L15" s="11"/>
      <c r="M15" s="5"/>
      <c r="N15" s="11"/>
      <c r="O15" s="5"/>
      <c r="P15" s="5"/>
      <c r="Q15" s="5"/>
      <c r="R15" s="5"/>
      <c r="S15" s="5"/>
    </row>
    <row r="16" spans="1:11" ht="12.75">
      <c r="A16" s="335" t="s">
        <v>19</v>
      </c>
      <c r="B16" s="336">
        <f>B14+B15</f>
        <v>16</v>
      </c>
      <c r="C16" s="336"/>
      <c r="D16" s="336"/>
      <c r="E16" s="337"/>
      <c r="G16" s="19" t="s">
        <v>273</v>
      </c>
      <c r="H16" s="39">
        <f>H52</f>
        <v>1500000</v>
      </c>
      <c r="I16" s="43">
        <f>H16*J16*1</f>
        <v>120000</v>
      </c>
      <c r="J16" s="41">
        <v>0.08</v>
      </c>
      <c r="K16" s="53" t="s">
        <v>220</v>
      </c>
    </row>
    <row r="17" spans="1:19" ht="12.75">
      <c r="A17" s="29" t="s">
        <v>20</v>
      </c>
      <c r="B17" s="29"/>
      <c r="C17" s="16" t="s">
        <v>21</v>
      </c>
      <c r="D17" s="16"/>
      <c r="E17" s="27">
        <f>53200+3189</f>
        <v>56389</v>
      </c>
      <c r="G17" s="45" t="s">
        <v>22</v>
      </c>
      <c r="H17" s="46"/>
      <c r="I17" s="47">
        <f>I13*I6*I8</f>
        <v>537407.9023500001</v>
      </c>
      <c r="J17" s="42"/>
      <c r="K17" s="5"/>
      <c r="L17" s="11"/>
      <c r="M17" s="5"/>
      <c r="N17" s="11"/>
      <c r="O17" s="5"/>
      <c r="P17" s="5"/>
      <c r="Q17" s="5"/>
      <c r="R17" s="5"/>
      <c r="S17" s="5"/>
    </row>
    <row r="18" spans="1:19" ht="12" customHeight="1">
      <c r="A18" s="51" t="s">
        <v>23</v>
      </c>
      <c r="B18" s="29"/>
      <c r="C18" s="29"/>
      <c r="D18" s="29"/>
      <c r="E18" s="27">
        <f>E8+E9+E10</f>
        <v>48001</v>
      </c>
      <c r="L18" s="11"/>
      <c r="M18" s="5"/>
      <c r="N18" s="11"/>
      <c r="O18" s="5"/>
      <c r="P18" s="5"/>
      <c r="Q18" s="5"/>
      <c r="R18" s="5"/>
      <c r="S18" s="5"/>
    </row>
    <row r="19" spans="1:22" ht="12.75">
      <c r="A19" s="54" t="s">
        <v>24</v>
      </c>
      <c r="B19" s="54"/>
      <c r="C19" s="14"/>
      <c r="D19" s="14"/>
      <c r="E19" s="55">
        <f>E18/E17</f>
        <v>0.8512475837486034</v>
      </c>
      <c r="G19" s="408" t="s">
        <v>223</v>
      </c>
      <c r="H19" s="408"/>
      <c r="I19" s="408"/>
      <c r="K19" s="5"/>
      <c r="L19" s="11"/>
      <c r="M19" s="5"/>
      <c r="N19" s="44"/>
      <c r="O19" s="5"/>
      <c r="P19" s="317"/>
      <c r="Q19" s="317"/>
      <c r="R19" s="317"/>
      <c r="S19" s="317"/>
      <c r="T19" s="5"/>
      <c r="U19" s="5"/>
      <c r="V19" s="5"/>
    </row>
    <row r="20" spans="1:23" ht="12.75">
      <c r="A20" s="56" t="s">
        <v>25</v>
      </c>
      <c r="B20" s="379">
        <v>29</v>
      </c>
      <c r="C20" s="380" t="s">
        <v>26</v>
      </c>
      <c r="D20" s="381"/>
      <c r="E20" s="60">
        <f>B20/12*E8/B14</f>
        <v>9771.55</v>
      </c>
      <c r="G20" s="15"/>
      <c r="H20" s="61" t="s">
        <v>27</v>
      </c>
      <c r="I20" s="62" t="s">
        <v>28</v>
      </c>
      <c r="K20" s="5"/>
      <c r="L20" s="5"/>
      <c r="M20" s="48"/>
      <c r="N20" s="48"/>
      <c r="O20" s="48"/>
      <c r="P20" s="4"/>
      <c r="Q20" s="48"/>
      <c r="R20" s="48"/>
      <c r="S20" s="49"/>
      <c r="T20" s="50"/>
      <c r="U20" s="48"/>
      <c r="V20" s="48"/>
      <c r="W20" s="48"/>
    </row>
    <row r="21" spans="1:23" ht="12.75">
      <c r="A21" s="56" t="s">
        <v>30</v>
      </c>
      <c r="B21" s="367">
        <v>30</v>
      </c>
      <c r="C21" s="58" t="s">
        <v>26</v>
      </c>
      <c r="D21" s="59">
        <f>(E9)/E18</f>
        <v>0.12660152913480968</v>
      </c>
      <c r="E21" s="60">
        <f>B21*E9/12/B15</f>
        <v>2532.0833333333335</v>
      </c>
      <c r="G21" s="19" t="s">
        <v>29</v>
      </c>
      <c r="H21" s="63">
        <f>-PV(H22/12,H23*12,H28/H24/12,0)</f>
        <v>15560891.627784401</v>
      </c>
      <c r="I21" s="64">
        <f>I25*I26</f>
        <v>12644891.820000002</v>
      </c>
      <c r="K21" s="5"/>
      <c r="L21" s="5"/>
      <c r="M21" s="5"/>
      <c r="N21" s="4"/>
      <c r="O21" s="5"/>
      <c r="P21" s="5"/>
      <c r="Q21" s="52"/>
      <c r="R21" s="4"/>
      <c r="S21" s="5"/>
      <c r="T21" s="53"/>
      <c r="U21" s="53"/>
      <c r="V21" s="53"/>
      <c r="W21" s="5"/>
    </row>
    <row r="22" spans="1:23" ht="13.5" customHeight="1">
      <c r="A22" s="56" t="s">
        <v>235</v>
      </c>
      <c r="B22" s="368">
        <f>B20</f>
        <v>29</v>
      </c>
      <c r="C22" s="58" t="s">
        <v>26</v>
      </c>
      <c r="D22" s="59">
        <f>E10/E18</f>
        <v>0.03104101997875044</v>
      </c>
      <c r="E22" s="60">
        <f>E10*B22/12/B14</f>
        <v>360.08333333333337</v>
      </c>
      <c r="G22" s="15" t="s">
        <v>3</v>
      </c>
      <c r="H22" s="67">
        <v>0.0425</v>
      </c>
      <c r="I22" s="68">
        <f>H22</f>
        <v>0.0425</v>
      </c>
      <c r="K22" s="5"/>
      <c r="L22" s="5"/>
      <c r="M22" s="5"/>
      <c r="N22" s="5"/>
      <c r="O22" s="5"/>
      <c r="P22" s="5"/>
      <c r="Q22" s="5"/>
      <c r="R22" s="5"/>
      <c r="S22" s="5"/>
      <c r="T22" s="5"/>
      <c r="U22" s="5"/>
      <c r="V22" s="5"/>
      <c r="W22" s="5"/>
    </row>
    <row r="23" spans="1:23" ht="12.75">
      <c r="A23" s="56"/>
      <c r="B23" s="57"/>
      <c r="C23" s="58"/>
      <c r="D23" s="59"/>
      <c r="E23" s="60"/>
      <c r="G23" s="15" t="s">
        <v>31</v>
      </c>
      <c r="H23">
        <v>25</v>
      </c>
      <c r="I23" s="17">
        <f>H23</f>
        <v>25</v>
      </c>
      <c r="K23" s="5"/>
      <c r="L23" s="5"/>
      <c r="M23" s="5"/>
      <c r="N23" s="50"/>
      <c r="O23" s="50"/>
      <c r="P23" s="50"/>
      <c r="Q23" s="50"/>
      <c r="R23" s="50"/>
      <c r="S23" s="50"/>
      <c r="T23" s="50"/>
      <c r="U23" s="50"/>
      <c r="V23" s="50"/>
      <c r="W23" s="50"/>
    </row>
    <row r="24" spans="1:23" ht="12.75">
      <c r="A24" s="56" t="s">
        <v>12</v>
      </c>
      <c r="B24" s="322" t="s">
        <v>244</v>
      </c>
      <c r="C24" s="58"/>
      <c r="D24" s="75"/>
      <c r="E24" s="76"/>
      <c r="G24" s="15" t="s">
        <v>32</v>
      </c>
      <c r="H24" s="71">
        <v>1.25</v>
      </c>
      <c r="I24" s="17"/>
      <c r="K24" s="5"/>
      <c r="L24" s="65"/>
      <c r="M24" s="66"/>
      <c r="N24" s="66"/>
      <c r="O24" s="66"/>
      <c r="P24" s="66"/>
      <c r="Q24" s="66"/>
      <c r="R24" s="66"/>
      <c r="S24" s="66"/>
      <c r="T24" s="66"/>
      <c r="U24" s="66"/>
      <c r="V24" s="66"/>
      <c r="W24" s="66"/>
    </row>
    <row r="25" spans="1:23" ht="12.75">
      <c r="A25" s="56"/>
      <c r="B25" s="73"/>
      <c r="C25" s="78"/>
      <c r="D25" s="58"/>
      <c r="E25" s="79"/>
      <c r="G25" s="15" t="s">
        <v>10</v>
      </c>
      <c r="I25" s="398">
        <f>I28/I29</f>
        <v>21074819.700000003</v>
      </c>
      <c r="K25" s="5"/>
      <c r="L25" s="65"/>
      <c r="M25" s="69"/>
      <c r="N25" s="70"/>
      <c r="O25" s="70"/>
      <c r="P25" s="69"/>
      <c r="Q25" s="70"/>
      <c r="R25" s="70"/>
      <c r="S25" s="70"/>
      <c r="T25" s="69"/>
      <c r="U25" s="70"/>
      <c r="V25" s="70"/>
      <c r="W25" s="70"/>
    </row>
    <row r="26" spans="1:23" ht="12.75">
      <c r="A26" s="56"/>
      <c r="B26" s="81"/>
      <c r="C26" s="82"/>
      <c r="D26" s="58"/>
      <c r="E26" s="83"/>
      <c r="G26" s="15" t="s">
        <v>11</v>
      </c>
      <c r="I26" s="388">
        <v>0.6</v>
      </c>
      <c r="J26" s="387"/>
      <c r="K26" s="71"/>
      <c r="L26" s="65"/>
      <c r="M26" s="70"/>
      <c r="N26" s="70"/>
      <c r="O26" s="70"/>
      <c r="P26" s="70"/>
      <c r="Q26" s="70"/>
      <c r="R26" s="70"/>
      <c r="S26" s="70"/>
      <c r="T26" s="70"/>
      <c r="U26" s="70"/>
      <c r="V26" s="70"/>
      <c r="W26" s="70"/>
    </row>
    <row r="27" spans="1:23" ht="12.75">
      <c r="A27" s="56" t="s">
        <v>37</v>
      </c>
      <c r="B27" s="84"/>
      <c r="C27" s="75"/>
      <c r="D27" s="75"/>
      <c r="E27" s="83"/>
      <c r="G27" s="15" t="s">
        <v>33</v>
      </c>
      <c r="I27" s="77">
        <f>I25/E18</f>
        <v>439.04959688339835</v>
      </c>
      <c r="J27" s="387"/>
      <c r="K27" s="71"/>
      <c r="L27" s="72"/>
      <c r="M27" s="70"/>
      <c r="N27" s="70"/>
      <c r="O27" s="70"/>
      <c r="P27" s="70"/>
      <c r="Q27" s="70"/>
      <c r="R27" s="70"/>
      <c r="S27" s="70"/>
      <c r="T27" s="70"/>
      <c r="U27" s="70"/>
      <c r="V27" s="70"/>
      <c r="W27" s="70"/>
    </row>
    <row r="28" spans="1:23" ht="12.75">
      <c r="A28" s="56"/>
      <c r="B28" s="84"/>
      <c r="C28" s="75"/>
      <c r="D28" s="75"/>
      <c r="E28" s="60"/>
      <c r="G28" s="15" t="s">
        <v>35</v>
      </c>
      <c r="H28" s="80">
        <f>J67</f>
        <v>1264489.182</v>
      </c>
      <c r="I28" s="64">
        <f>H28</f>
        <v>1264489.182</v>
      </c>
      <c r="K28" s="5"/>
      <c r="L28" s="65"/>
      <c r="M28" s="69"/>
      <c r="N28" s="70"/>
      <c r="O28" s="70"/>
      <c r="P28" s="69"/>
      <c r="Q28" s="70"/>
      <c r="R28" s="70"/>
      <c r="S28" s="70"/>
      <c r="T28" s="69"/>
      <c r="U28" s="70"/>
      <c r="V28" s="70"/>
      <c r="W28" s="70"/>
    </row>
    <row r="29" spans="1:23" ht="12.75">
      <c r="A29" s="343" t="s">
        <v>40</v>
      </c>
      <c r="B29" s="344"/>
      <c r="C29" s="345"/>
      <c r="D29" s="345"/>
      <c r="E29" s="346">
        <v>1160000</v>
      </c>
      <c r="G29" s="15" t="s">
        <v>36</v>
      </c>
      <c r="I29" s="399">
        <v>0.06</v>
      </c>
      <c r="J29" s="405"/>
      <c r="K29" s="5"/>
      <c r="L29" s="65"/>
      <c r="M29" s="70"/>
      <c r="N29" s="70"/>
      <c r="O29" s="70"/>
      <c r="P29" s="70"/>
      <c r="Q29" s="70"/>
      <c r="R29" s="70"/>
      <c r="S29" s="70"/>
      <c r="T29" s="70"/>
      <c r="U29" s="70"/>
      <c r="V29" s="70"/>
      <c r="W29" s="70"/>
    </row>
    <row r="30" spans="7:23" ht="12.75">
      <c r="G30" s="19" t="s">
        <v>38</v>
      </c>
      <c r="H30" s="80">
        <f>MIN(H21,I21)</f>
        <v>12644891.820000002</v>
      </c>
      <c r="I30" s="85"/>
      <c r="K30" s="5"/>
      <c r="L30" s="65"/>
      <c r="M30" s="70"/>
      <c r="N30" s="70"/>
      <c r="O30" s="70"/>
      <c r="P30" s="70"/>
      <c r="Q30" s="70"/>
      <c r="R30" s="70"/>
      <c r="S30" s="70"/>
      <c r="T30" s="70"/>
      <c r="U30" s="70"/>
      <c r="V30" s="70"/>
      <c r="W30" s="70"/>
    </row>
    <row r="31" spans="1:23" ht="12.75">
      <c r="A31" s="408" t="s">
        <v>43</v>
      </c>
      <c r="B31" s="408"/>
      <c r="C31" s="408"/>
      <c r="D31" s="408"/>
      <c r="E31" s="408"/>
      <c r="G31" s="45" t="s">
        <v>39</v>
      </c>
      <c r="H31" s="86">
        <f>PMT(H22/12,H23*12,H30,0)*12</f>
        <v>-822026.3618005647</v>
      </c>
      <c r="I31" s="47"/>
      <c r="K31" s="5"/>
      <c r="L31" s="65"/>
      <c r="M31" s="70"/>
      <c r="N31" s="70"/>
      <c r="O31" s="70"/>
      <c r="P31" s="70"/>
      <c r="Q31" s="70"/>
      <c r="R31" s="70"/>
      <c r="S31" s="70"/>
      <c r="T31" s="70"/>
      <c r="U31" s="70"/>
      <c r="V31" s="70"/>
      <c r="W31" s="70"/>
    </row>
    <row r="32" spans="1:23" ht="12.75">
      <c r="A32" s="98" t="s">
        <v>260</v>
      </c>
      <c r="B32" s="99"/>
      <c r="C32" s="100">
        <f>E32/E6</f>
        <v>85.29411764705883</v>
      </c>
      <c r="D32" s="100" t="s">
        <v>45</v>
      </c>
      <c r="E32" s="79">
        <f>E29</f>
        <v>1160000</v>
      </c>
      <c r="L32" s="65"/>
      <c r="M32" s="70"/>
      <c r="N32" s="70"/>
      <c r="O32" s="70"/>
      <c r="P32" s="70"/>
      <c r="Q32" s="70"/>
      <c r="R32" s="70"/>
      <c r="S32" s="70"/>
      <c r="T32" s="70"/>
      <c r="U32" s="70"/>
      <c r="V32" s="70"/>
      <c r="W32" s="70"/>
    </row>
    <row r="33" spans="1:23" ht="12.75">
      <c r="A33" s="19" t="s">
        <v>246</v>
      </c>
      <c r="B33" s="20"/>
      <c r="C33" s="102">
        <f>E33/E17</f>
        <v>174.67945875968718</v>
      </c>
      <c r="D33" s="102" t="s">
        <v>45</v>
      </c>
      <c r="E33" s="79">
        <v>9850000</v>
      </c>
      <c r="G33" s="408" t="s">
        <v>41</v>
      </c>
      <c r="H33" s="408"/>
      <c r="I33" s="408"/>
      <c r="K33" s="89"/>
      <c r="L33" s="65"/>
      <c r="M33" s="70"/>
      <c r="N33" s="70"/>
      <c r="O33" s="70"/>
      <c r="P33" s="70"/>
      <c r="Q33" s="70"/>
      <c r="R33" s="70"/>
      <c r="S33" s="70"/>
      <c r="T33" s="70"/>
      <c r="U33" s="70"/>
      <c r="V33" s="70"/>
      <c r="W33" s="70"/>
    </row>
    <row r="34" spans="1:23" ht="12.75">
      <c r="A34" s="19" t="s">
        <v>261</v>
      </c>
      <c r="B34" s="20"/>
      <c r="C34" s="102"/>
      <c r="D34" s="102"/>
      <c r="E34" s="79">
        <v>250000</v>
      </c>
      <c r="G34" s="6" t="s">
        <v>42</v>
      </c>
      <c r="H34" s="7"/>
      <c r="I34" s="90">
        <f>E48</f>
        <v>17894734.620550003</v>
      </c>
      <c r="K34" s="5"/>
      <c r="L34" s="65"/>
      <c r="M34" s="70"/>
      <c r="N34" s="70"/>
      <c r="O34" s="70"/>
      <c r="P34" s="70"/>
      <c r="Q34" s="70"/>
      <c r="R34" s="70"/>
      <c r="S34" s="70"/>
      <c r="T34" s="70"/>
      <c r="U34" s="70"/>
      <c r="V34" s="70"/>
      <c r="W34" s="70"/>
    </row>
    <row r="35" spans="1:23" ht="12.75">
      <c r="A35" s="19" t="s">
        <v>247</v>
      </c>
      <c r="C35" s="392">
        <f>'Soft Costs 2'!C17</f>
        <v>0.03</v>
      </c>
      <c r="D35" s="102"/>
      <c r="E35" s="79">
        <f>'Soft Costs 2'!I17</f>
        <v>295500</v>
      </c>
      <c r="G35" s="15" t="s">
        <v>44</v>
      </c>
      <c r="H35" s="93">
        <f>-I35/E40</f>
        <v>0.7417582417582418</v>
      </c>
      <c r="I35" s="94">
        <v>-1350000</v>
      </c>
      <c r="J35" s="97"/>
      <c r="K35" s="5"/>
      <c r="L35" s="65"/>
      <c r="M35" s="70"/>
      <c r="N35" s="70"/>
      <c r="O35" s="70"/>
      <c r="P35" s="70"/>
      <c r="Q35" s="70"/>
      <c r="R35" s="70"/>
      <c r="S35" s="70"/>
      <c r="T35" s="70"/>
      <c r="U35" s="70"/>
      <c r="V35" s="70"/>
      <c r="W35" s="70"/>
    </row>
    <row r="36" spans="1:23" ht="12.75">
      <c r="A36" s="19" t="s">
        <v>233</v>
      </c>
      <c r="B36" s="20"/>
      <c r="C36" s="102">
        <f>'Soft Costs 2'!G14</f>
        <v>20</v>
      </c>
      <c r="D36" s="102"/>
      <c r="E36" s="79">
        <f>'Soft Costs 2'!I14</f>
        <v>808680</v>
      </c>
      <c r="F36" s="106"/>
      <c r="G36" s="24" t="s">
        <v>46</v>
      </c>
      <c r="H36" s="93">
        <f>I36/-E45</f>
        <v>0.3690320142653015</v>
      </c>
      <c r="I36" s="94">
        <v>-150000</v>
      </c>
      <c r="K36" s="101"/>
      <c r="L36" s="65"/>
      <c r="M36" s="70"/>
      <c r="N36" s="70"/>
      <c r="O36" s="70"/>
      <c r="P36" s="70"/>
      <c r="Q36" s="70"/>
      <c r="R36" s="70"/>
      <c r="S36" s="70"/>
      <c r="T36" s="70"/>
      <c r="U36" s="70"/>
      <c r="V36" s="70"/>
      <c r="W36" s="70"/>
    </row>
    <row r="37" spans="1:23" ht="12.75">
      <c r="A37" s="19" t="s">
        <v>255</v>
      </c>
      <c r="B37" s="20"/>
      <c r="C37" s="105"/>
      <c r="D37" s="105"/>
      <c r="E37" s="108">
        <f>'Soft Costs 2'!I13</f>
        <v>235000</v>
      </c>
      <c r="F37" s="109"/>
      <c r="G37" s="15" t="s">
        <v>47</v>
      </c>
      <c r="H37" s="16"/>
      <c r="I37" s="103">
        <f>-H30</f>
        <v>-12644891.820000002</v>
      </c>
      <c r="J37" s="104"/>
      <c r="K37" s="101"/>
      <c r="L37" s="65"/>
      <c r="M37" s="70"/>
      <c r="N37" s="70"/>
      <c r="O37" s="70"/>
      <c r="P37" s="70"/>
      <c r="Q37" s="70"/>
      <c r="R37" s="91"/>
      <c r="S37" s="70"/>
      <c r="T37" s="70"/>
      <c r="U37" s="70"/>
      <c r="V37" s="70"/>
      <c r="W37" s="70"/>
    </row>
    <row r="38" spans="1:23" ht="12.75">
      <c r="A38" s="19" t="s">
        <v>51</v>
      </c>
      <c r="B38" s="20"/>
      <c r="C38" s="111">
        <f>E38/(E34+E33)</f>
        <v>0.0034104950495049504</v>
      </c>
      <c r="D38" s="105" t="s">
        <v>49</v>
      </c>
      <c r="E38" s="108">
        <f>'Soft Costs 2'!K31</f>
        <v>34446</v>
      </c>
      <c r="F38" s="109"/>
      <c r="G38" s="310" t="s">
        <v>229</v>
      </c>
      <c r="H38" s="93">
        <v>1</v>
      </c>
      <c r="I38" s="103">
        <f>E29-E32</f>
        <v>0</v>
      </c>
      <c r="J38" s="104"/>
      <c r="K38" s="101"/>
      <c r="L38" s="65"/>
      <c r="M38" s="5"/>
      <c r="N38" s="95"/>
      <c r="O38" s="95"/>
      <c r="P38" s="95"/>
      <c r="Q38" s="95"/>
      <c r="R38" s="95"/>
      <c r="S38" s="95"/>
      <c r="T38" s="95"/>
      <c r="U38" s="95"/>
      <c r="V38" s="95"/>
      <c r="W38" s="96"/>
    </row>
    <row r="39" spans="1:23" ht="12.75">
      <c r="A39" s="113" t="s">
        <v>53</v>
      </c>
      <c r="B39" s="53"/>
      <c r="C39" s="111">
        <f>E39/(E33+E34)</f>
        <v>0.05448594059405941</v>
      </c>
      <c r="D39" s="105" t="s">
        <v>49</v>
      </c>
      <c r="E39" s="108">
        <f>'Soft Costs 2'!K40</f>
        <v>550308</v>
      </c>
      <c r="F39" s="106"/>
      <c r="G39" s="310" t="s">
        <v>257</v>
      </c>
      <c r="H39" s="93"/>
      <c r="I39" s="103">
        <f>-H60</f>
        <v>-2250000</v>
      </c>
      <c r="K39" s="389"/>
      <c r="L39" s="65"/>
      <c r="M39" s="70"/>
      <c r="N39" s="70"/>
      <c r="O39" s="70"/>
      <c r="P39" s="70"/>
      <c r="Q39" s="70"/>
      <c r="R39" s="70"/>
      <c r="S39" s="70"/>
      <c r="T39" s="70"/>
      <c r="U39" s="70"/>
      <c r="V39" s="70"/>
      <c r="W39" s="70"/>
    </row>
    <row r="40" spans="1:23" ht="12.75">
      <c r="A40" s="19" t="s">
        <v>55</v>
      </c>
      <c r="B40" s="20"/>
      <c r="C40" s="111">
        <f>E40/I25</f>
        <v>0.08635898318029263</v>
      </c>
      <c r="D40" s="105" t="s">
        <v>56</v>
      </c>
      <c r="E40" s="108">
        <f>'Soft Costs 2'!K49</f>
        <v>1820000</v>
      </c>
      <c r="F40" s="117"/>
      <c r="G40" s="310" t="s">
        <v>258</v>
      </c>
      <c r="H40" s="93"/>
      <c r="I40" s="103">
        <f>-H16</f>
        <v>-1500000</v>
      </c>
      <c r="L40" s="65"/>
      <c r="M40" s="70"/>
      <c r="N40" s="70"/>
      <c r="O40" s="70"/>
      <c r="P40" s="70"/>
      <c r="Q40" s="70"/>
      <c r="R40" s="70"/>
      <c r="S40" s="70"/>
      <c r="T40" s="70"/>
      <c r="U40" s="70"/>
      <c r="V40" s="70"/>
      <c r="W40" s="70"/>
    </row>
    <row r="41" spans="1:9" ht="12.75">
      <c r="A41" s="19" t="s">
        <v>57</v>
      </c>
      <c r="B41" s="20"/>
      <c r="C41" s="111">
        <f>E41/(E33+E34)</f>
        <v>0.06371336633663366</v>
      </c>
      <c r="D41" s="105" t="s">
        <v>49</v>
      </c>
      <c r="E41" s="108">
        <f>'Soft Costs 2'!K70</f>
        <v>643505</v>
      </c>
      <c r="F41" s="118"/>
      <c r="G41" s="331" t="s">
        <v>262</v>
      </c>
      <c r="H41" t="s">
        <v>243</v>
      </c>
      <c r="I41" s="402"/>
    </row>
    <row r="42" spans="1:9" ht="12.75">
      <c r="A42" s="19" t="s">
        <v>59</v>
      </c>
      <c r="B42" s="20"/>
      <c r="C42" s="111">
        <f>E42/(E33+E34)</f>
        <v>0.019603960396039604</v>
      </c>
      <c r="D42" s="105" t="s">
        <v>49</v>
      </c>
      <c r="E42" s="108">
        <f>'Soft Costs 2'!K77</f>
        <v>198000</v>
      </c>
      <c r="F42" s="109"/>
      <c r="G42" s="331"/>
      <c r="I42" s="332"/>
    </row>
    <row r="43" spans="1:23" ht="12.75">
      <c r="A43" s="19" t="s">
        <v>60</v>
      </c>
      <c r="B43" s="20"/>
      <c r="C43" s="111">
        <f>E43/(E33+E34)</f>
        <v>0.1626561208465347</v>
      </c>
      <c r="D43" s="105" t="s">
        <v>49</v>
      </c>
      <c r="E43" s="108">
        <f>'Soft Costs 2'!K88</f>
        <v>1642826.8205500003</v>
      </c>
      <c r="F43" s="117"/>
      <c r="G43" s="401" t="s">
        <v>50</v>
      </c>
      <c r="H43" s="110"/>
      <c r="I43" s="403">
        <f>SUM(I34:I42)</f>
        <v>-157.19944999925792</v>
      </c>
      <c r="J43" s="97"/>
      <c r="K43" s="389"/>
      <c r="M43" s="103"/>
      <c r="R43" s="70"/>
      <c r="S43" s="70"/>
      <c r="T43" s="70"/>
      <c r="U43" s="70"/>
      <c r="V43" s="70"/>
      <c r="W43" s="70"/>
    </row>
    <row r="44" spans="1:23" ht="12.75">
      <c r="A44" s="19" t="s">
        <v>61</v>
      </c>
      <c r="B44" s="20"/>
      <c r="C44" s="111">
        <f>E44/(E33+E34)</f>
        <v>0</v>
      </c>
      <c r="D44" s="105" t="s">
        <v>49</v>
      </c>
      <c r="E44" s="108">
        <f>'Soft Costs 2'!K94</f>
        <v>0</v>
      </c>
      <c r="F44" s="117"/>
      <c r="G44" s="401" t="s">
        <v>52</v>
      </c>
      <c r="H44" s="16"/>
      <c r="I44" s="404">
        <f>E72</f>
        <v>1227659.4</v>
      </c>
      <c r="K44" s="390"/>
      <c r="L44" s="65"/>
      <c r="M44" s="407"/>
      <c r="N44" s="70"/>
      <c r="O44" s="70"/>
      <c r="P44" s="70"/>
      <c r="Q44" s="70"/>
      <c r="R44" s="70"/>
      <c r="S44" s="70"/>
      <c r="T44" s="69"/>
      <c r="U44" s="70"/>
      <c r="V44" s="70"/>
      <c r="W44" s="70"/>
    </row>
    <row r="45" spans="1:23" ht="13.5" thickBot="1">
      <c r="A45" s="119" t="s">
        <v>62</v>
      </c>
      <c r="B45" s="120"/>
      <c r="C45" s="121">
        <f>E45/(E33+E34)</f>
        <v>0.040244435643564364</v>
      </c>
      <c r="D45" s="121" t="s">
        <v>49</v>
      </c>
      <c r="E45" s="122">
        <f>'Soft Costs 2'!K104</f>
        <v>406468.80000000005</v>
      </c>
      <c r="F45" s="117"/>
      <c r="G45" s="401" t="s">
        <v>54</v>
      </c>
      <c r="H45" s="16"/>
      <c r="I45" s="404">
        <f>PMT(I22/12,H23*12,H30,0)*12</f>
        <v>-822026.3618005647</v>
      </c>
      <c r="K45" s="5"/>
      <c r="L45" s="72"/>
      <c r="M45" s="69"/>
      <c r="N45" s="70"/>
      <c r="O45" s="70"/>
      <c r="P45" s="70"/>
      <c r="Q45" s="70"/>
      <c r="R45" s="107"/>
      <c r="S45" s="107"/>
      <c r="T45" s="107"/>
      <c r="U45" s="107"/>
      <c r="V45" s="107"/>
      <c r="W45" s="107"/>
    </row>
    <row r="46" spans="1:23" ht="13.5" thickBot="1">
      <c r="A46" s="123" t="s">
        <v>64</v>
      </c>
      <c r="B46" s="124"/>
      <c r="C46" s="125">
        <f>SUM(E37:E45)/E17</f>
        <v>98.07860789427016</v>
      </c>
      <c r="D46" s="126" t="s">
        <v>48</v>
      </c>
      <c r="E46" s="127">
        <f>SUM(E38:E45)</f>
        <v>5295554.62055</v>
      </c>
      <c r="F46" s="118"/>
      <c r="G46" s="331"/>
      <c r="I46" s="332"/>
      <c r="L46" s="65"/>
      <c r="M46" s="107"/>
      <c r="N46" s="107"/>
      <c r="O46" s="107"/>
      <c r="P46" s="107"/>
      <c r="Q46" s="107"/>
      <c r="R46" s="69"/>
      <c r="S46" s="69"/>
      <c r="T46" s="69"/>
      <c r="U46" s="69"/>
      <c r="V46" s="69"/>
      <c r="W46" s="69"/>
    </row>
    <row r="47" spans="1:22" ht="13.5" thickBot="1">
      <c r="A47" s="131"/>
      <c r="B47" s="132"/>
      <c r="C47" s="133"/>
      <c r="D47" s="134"/>
      <c r="E47" s="135"/>
      <c r="F47" s="136"/>
      <c r="G47" s="310" t="s">
        <v>227</v>
      </c>
      <c r="H47" s="338"/>
      <c r="I47" s="94"/>
      <c r="J47" s="104"/>
      <c r="K47" s="5"/>
      <c r="L47" s="72"/>
      <c r="M47" s="69"/>
      <c r="N47" s="69"/>
      <c r="O47" s="69"/>
      <c r="P47" s="69"/>
      <c r="Q47" s="69"/>
      <c r="R47" s="70"/>
      <c r="S47" s="69"/>
      <c r="T47" s="112"/>
      <c r="U47" s="5"/>
      <c r="V47" s="5"/>
    </row>
    <row r="48" spans="1:22" ht="13.5" thickBot="1">
      <c r="A48" s="143" t="s">
        <v>73</v>
      </c>
      <c r="B48" s="144"/>
      <c r="C48" s="145">
        <f>C32+C46</f>
        <v>183.37272554132898</v>
      </c>
      <c r="D48" s="126" t="s">
        <v>74</v>
      </c>
      <c r="E48" s="146">
        <f>SUM(E32:E45)</f>
        <v>17894734.620550003</v>
      </c>
      <c r="F48" s="374"/>
      <c r="G48" s="311" t="s">
        <v>58</v>
      </c>
      <c r="H48" s="312"/>
      <c r="I48" s="313">
        <f>I44+I45+I47</f>
        <v>405633.0381994352</v>
      </c>
      <c r="L48" s="5"/>
      <c r="M48" s="70"/>
      <c r="N48" s="70"/>
      <c r="O48" s="70"/>
      <c r="P48" s="70"/>
      <c r="Q48" s="70"/>
      <c r="R48" s="70"/>
      <c r="S48" s="70"/>
      <c r="T48" s="115"/>
      <c r="U48" s="116"/>
      <c r="V48" s="5"/>
    </row>
    <row r="49" spans="1:22" ht="12.75">
      <c r="A49" s="136"/>
      <c r="B49" s="16"/>
      <c r="C49" s="92"/>
      <c r="D49" s="92"/>
      <c r="E49" s="152"/>
      <c r="F49" s="391"/>
      <c r="G49" s="314"/>
      <c r="H49" s="315"/>
      <c r="I49" s="316">
        <f>(H52+H54+H58+H60-I14)/(E48+I35+I36+I39)</f>
        <v>0.2651163207086161</v>
      </c>
      <c r="J49" s="74"/>
      <c r="L49" s="114"/>
      <c r="M49" s="70"/>
      <c r="N49" s="70"/>
      <c r="O49" s="70"/>
      <c r="P49" s="70"/>
      <c r="Q49" s="70"/>
      <c r="R49" s="5"/>
      <c r="S49" s="5"/>
      <c r="T49" s="5"/>
      <c r="U49" s="5"/>
      <c r="V49" s="5"/>
    </row>
    <row r="50" spans="1:23" ht="12.75">
      <c r="A50" s="408" t="s">
        <v>75</v>
      </c>
      <c r="B50" s="408"/>
      <c r="C50" s="408"/>
      <c r="D50" s="408"/>
      <c r="E50" s="408"/>
      <c r="G50" s="408" t="s">
        <v>63</v>
      </c>
      <c r="H50" s="408"/>
      <c r="I50" s="408"/>
      <c r="R50" s="5"/>
      <c r="S50" s="5"/>
      <c r="T50" s="5"/>
      <c r="U50" s="5"/>
      <c r="V50" s="5"/>
      <c r="W50" s="5"/>
    </row>
    <row r="51" spans="1:23" ht="12.75">
      <c r="A51" s="310" t="s">
        <v>221</v>
      </c>
      <c r="B51" s="7"/>
      <c r="C51" s="393">
        <f>B20</f>
        <v>29</v>
      </c>
      <c r="D51" s="153"/>
      <c r="E51" s="154">
        <f>C51*E8</f>
        <v>1172586</v>
      </c>
      <c r="F51" s="80"/>
      <c r="G51" s="128"/>
      <c r="H51" s="129"/>
      <c r="I51" s="130" t="s">
        <v>65</v>
      </c>
      <c r="J51" s="130" t="s">
        <v>66</v>
      </c>
      <c r="K51" s="130" t="s">
        <v>67</v>
      </c>
      <c r="L51" s="130" t="s">
        <v>68</v>
      </c>
      <c r="M51" s="130" t="s">
        <v>69</v>
      </c>
      <c r="N51" s="130" t="s">
        <v>70</v>
      </c>
      <c r="O51" s="130" t="s">
        <v>71</v>
      </c>
      <c r="P51" s="130" t="s">
        <v>72</v>
      </c>
      <c r="Q51" s="130" t="s">
        <v>230</v>
      </c>
      <c r="R51" s="352"/>
      <c r="S51" s="352"/>
      <c r="T51" s="352"/>
      <c r="U51" s="352"/>
      <c r="V51" s="352"/>
      <c r="W51" s="352"/>
    </row>
    <row r="52" spans="1:23" ht="12.75">
      <c r="A52" s="15"/>
      <c r="B52" s="16"/>
      <c r="C52" s="394"/>
      <c r="D52" s="16"/>
      <c r="E52" s="156"/>
      <c r="F52" s="157"/>
      <c r="G52" s="137" t="s">
        <v>266</v>
      </c>
      <c r="H52" s="138">
        <v>1500000</v>
      </c>
      <c r="I52" s="139">
        <f>I53*H52</f>
        <v>120000</v>
      </c>
      <c r="J52" s="140">
        <f>J53*H52</f>
        <v>120000</v>
      </c>
      <c r="K52" s="139">
        <f>K53*H52</f>
        <v>120000</v>
      </c>
      <c r="L52" s="140">
        <f>L53*H52</f>
        <v>120000</v>
      </c>
      <c r="M52" s="141">
        <v>0</v>
      </c>
      <c r="N52" s="142">
        <f>M52</f>
        <v>0</v>
      </c>
      <c r="O52" s="141">
        <f>N52</f>
        <v>0</v>
      </c>
      <c r="P52" s="142">
        <f>O52</f>
        <v>0</v>
      </c>
      <c r="Q52" s="141">
        <f>P52</f>
        <v>0</v>
      </c>
      <c r="R52" s="141"/>
      <c r="S52" s="141"/>
      <c r="T52" s="141"/>
      <c r="U52" s="141"/>
      <c r="V52" s="141"/>
      <c r="W52" s="141"/>
    </row>
    <row r="53" spans="1:23" ht="12.75">
      <c r="A53" s="24" t="s">
        <v>76</v>
      </c>
      <c r="B53" s="16"/>
      <c r="C53" s="395">
        <f>B21</f>
        <v>30</v>
      </c>
      <c r="D53" s="16"/>
      <c r="E53" s="156">
        <f>C53*E9</f>
        <v>182310</v>
      </c>
      <c r="F53" s="42"/>
      <c r="G53" s="147" t="s">
        <v>274</v>
      </c>
      <c r="H53" s="347">
        <f>H52/(H52+H56+H58+H60)</f>
        <v>0.2702702702702703</v>
      </c>
      <c r="I53" s="148">
        <v>0.08</v>
      </c>
      <c r="J53" s="149">
        <v>0.08</v>
      </c>
      <c r="K53" s="148">
        <v>0.08</v>
      </c>
      <c r="L53" s="149">
        <v>0.08</v>
      </c>
      <c r="M53" s="148"/>
      <c r="N53" s="150"/>
      <c r="O53" s="151"/>
      <c r="P53" s="149"/>
      <c r="Q53" s="349"/>
      <c r="R53" s="353"/>
      <c r="S53" s="353"/>
      <c r="T53" s="353"/>
      <c r="U53" s="354"/>
      <c r="V53" s="353"/>
      <c r="W53" s="353"/>
    </row>
    <row r="54" spans="1:23" ht="12.75">
      <c r="A54" s="310" t="s">
        <v>236</v>
      </c>
      <c r="C54" s="395">
        <f>B22</f>
        <v>29</v>
      </c>
      <c r="E54" s="156">
        <f>C54*E10</f>
        <v>43210</v>
      </c>
      <c r="G54" s="137"/>
      <c r="H54" s="138"/>
      <c r="I54" s="139"/>
      <c r="J54" s="140"/>
      <c r="K54" s="139"/>
      <c r="L54" s="140"/>
      <c r="M54" s="140"/>
      <c r="N54" s="140"/>
      <c r="O54" s="140"/>
      <c r="P54" s="140"/>
      <c r="Q54" s="140"/>
      <c r="R54" s="5"/>
      <c r="S54" s="5"/>
      <c r="T54" s="5"/>
      <c r="U54" s="5"/>
      <c r="V54" s="5"/>
      <c r="W54" s="5"/>
    </row>
    <row r="55" spans="1:23" ht="12.75">
      <c r="A55" s="310" t="s">
        <v>237</v>
      </c>
      <c r="C55" s="168"/>
      <c r="E55" s="156">
        <v>5500</v>
      </c>
      <c r="F55" s="378"/>
      <c r="G55" s="369"/>
      <c r="H55" s="347"/>
      <c r="I55" s="148"/>
      <c r="J55" s="149"/>
      <c r="K55" s="148"/>
      <c r="L55" s="149"/>
      <c r="M55" s="366"/>
      <c r="N55" s="366"/>
      <c r="O55" s="366"/>
      <c r="P55" s="366"/>
      <c r="Q55" s="366"/>
      <c r="R55" s="5"/>
      <c r="S55" s="5"/>
      <c r="T55" s="5"/>
      <c r="U55" s="5"/>
      <c r="V55" s="5"/>
      <c r="W55" s="5"/>
    </row>
    <row r="56" spans="1:23" ht="12.75">
      <c r="A56" s="51" t="s">
        <v>77</v>
      </c>
      <c r="B56" s="16"/>
      <c r="C56" s="159"/>
      <c r="D56" s="162">
        <f>SUM(E51:E55)</f>
        <v>1403606</v>
      </c>
      <c r="E56" s="156"/>
      <c r="F56" s="378"/>
      <c r="G56" s="42" t="s">
        <v>267</v>
      </c>
      <c r="H56" s="138">
        <f>-I35-I36-I38</f>
        <v>1500000</v>
      </c>
      <c r="I56" s="372">
        <f>I69-I58-I54-I52-I60</f>
        <v>81633.03819943522</v>
      </c>
      <c r="J56" s="371">
        <f>J69-J58-J54-J52-J60</f>
        <v>118462.82019943534</v>
      </c>
      <c r="K56" s="372">
        <f>(K69-K52)*F57</f>
        <v>133480.55394793904</v>
      </c>
      <c r="L56" s="371">
        <f>L69-L52-L60-L58</f>
        <v>147951.93014193902</v>
      </c>
      <c r="M56" s="140">
        <f>M69*F57</f>
        <v>165524.2482886348</v>
      </c>
      <c r="N56" s="142">
        <f>N69*F57</f>
        <v>180876.93129284945</v>
      </c>
      <c r="O56" s="141">
        <f>O69*F57</f>
        <v>196690.1947871904</v>
      </c>
      <c r="P56" s="142">
        <f>P69*F57</f>
        <v>212977.85618636178</v>
      </c>
      <c r="Q56" s="141">
        <f>Q69*F57</f>
        <v>229754.14742750814</v>
      </c>
      <c r="R56" s="141"/>
      <c r="S56" s="141"/>
      <c r="T56" s="141"/>
      <c r="U56" s="141"/>
      <c r="V56" s="141"/>
      <c r="W56" s="141"/>
    </row>
    <row r="57" spans="1:23" ht="12.75">
      <c r="A57" s="15" t="s">
        <v>79</v>
      </c>
      <c r="B57" s="16"/>
      <c r="C57" s="165">
        <v>0.05</v>
      </c>
      <c r="D57" s="165"/>
      <c r="E57" s="156">
        <f>-C57*D56</f>
        <v>-70180.3</v>
      </c>
      <c r="F57" s="347">
        <f>H56/-G79</f>
        <v>0.37037037037037035</v>
      </c>
      <c r="G57" s="42" t="s">
        <v>272</v>
      </c>
      <c r="H57" s="347">
        <f>H56/(H52+H56+H58+H60)</f>
        <v>0.2702702702702703</v>
      </c>
      <c r="I57" s="148">
        <f>I56/H56</f>
        <v>0.054422025466290144</v>
      </c>
      <c r="J57" s="149">
        <f>J56/H56</f>
        <v>0.07897521346629023</v>
      </c>
      <c r="K57" s="148">
        <f>K56/H56</f>
        <v>0.0889870359652927</v>
      </c>
      <c r="L57" s="149">
        <f>L56/H56</f>
        <v>0.09863462009462602</v>
      </c>
      <c r="M57" s="148">
        <f>M56/H56</f>
        <v>0.11034949885908986</v>
      </c>
      <c r="N57" s="150">
        <f>N56/H56</f>
        <v>0.12058462086189964</v>
      </c>
      <c r="O57" s="151">
        <f>O56/H56</f>
        <v>0.13112679652479362</v>
      </c>
      <c r="P57" s="149">
        <f>P56/H56</f>
        <v>0.14198523745757452</v>
      </c>
      <c r="Q57" s="349">
        <f>Q56/H56</f>
        <v>0.15316943161833876</v>
      </c>
      <c r="R57" s="353"/>
      <c r="S57" s="353"/>
      <c r="T57" s="353"/>
      <c r="U57" s="354"/>
      <c r="V57" s="353"/>
      <c r="W57" s="353"/>
    </row>
    <row r="58" spans="1:23" ht="12.75">
      <c r="A58" s="15" t="s">
        <v>81</v>
      </c>
      <c r="B58" s="16"/>
      <c r="C58" s="92" t="s">
        <v>26</v>
      </c>
      <c r="D58" s="168">
        <f>-9251</f>
        <v>-9251</v>
      </c>
      <c r="E58" s="156">
        <v>0</v>
      </c>
      <c r="F58" s="396"/>
      <c r="G58" s="147" t="s">
        <v>268</v>
      </c>
      <c r="H58" s="319">
        <v>300000</v>
      </c>
      <c r="I58" s="321">
        <f>I59*H58</f>
        <v>24000</v>
      </c>
      <c r="J58" s="320">
        <f>J59*H58</f>
        <v>24000</v>
      </c>
      <c r="K58" s="139">
        <f>(K69-K52)*F59</f>
        <v>26696.110789587805</v>
      </c>
      <c r="L58" s="140">
        <f>(L69-L52)*F59</f>
        <v>29590.386028387806</v>
      </c>
      <c r="M58" s="372">
        <f>M69*F59</f>
        <v>33104.849657726954</v>
      </c>
      <c r="N58" s="371">
        <f>N69*F59</f>
        <v>36175.38625856989</v>
      </c>
      <c r="O58" s="372">
        <f>O69*F59</f>
        <v>39338.03895743808</v>
      </c>
      <c r="P58" s="371">
        <f>P69*F59</f>
        <v>42595.57123727236</v>
      </c>
      <c r="Q58" s="372">
        <f>Q69*F59</f>
        <v>45950.82948550163</v>
      </c>
      <c r="R58" s="355"/>
      <c r="S58" s="355"/>
      <c r="T58" s="355"/>
      <c r="U58" s="355"/>
      <c r="V58" s="355"/>
      <c r="W58" s="355"/>
    </row>
    <row r="59" spans="1:23" ht="12.75">
      <c r="A59" s="24"/>
      <c r="B59" s="5"/>
      <c r="C59" s="171"/>
      <c r="D59" s="172"/>
      <c r="E59" s="156"/>
      <c r="F59" s="347">
        <f>H58/-G79</f>
        <v>0.07407407407407407</v>
      </c>
      <c r="G59" s="377" t="s">
        <v>269</v>
      </c>
      <c r="H59" s="347">
        <f>H58/(H52+H56+H58+H60)</f>
        <v>0.05405405405405406</v>
      </c>
      <c r="I59" s="148">
        <v>0.08</v>
      </c>
      <c r="J59" s="158">
        <f>I59</f>
        <v>0.08</v>
      </c>
      <c r="K59" s="148">
        <f>K58/H58</f>
        <v>0.08898703596529269</v>
      </c>
      <c r="L59" s="158">
        <f>L58/H58</f>
        <v>0.09863462009462602</v>
      </c>
      <c r="M59" s="148">
        <f>M58/H58</f>
        <v>0.11034949885908985</v>
      </c>
      <c r="N59" s="158">
        <f>N58/H58</f>
        <v>0.12058462086189962</v>
      </c>
      <c r="O59" s="158">
        <f>O58/H58</f>
        <v>0.13112679652479362</v>
      </c>
      <c r="P59" s="158">
        <f>P58/H58</f>
        <v>0.14198523745757452</v>
      </c>
      <c r="Q59" s="158">
        <f>Q58/H58</f>
        <v>0.15316943161833876</v>
      </c>
      <c r="R59" s="354"/>
      <c r="S59" s="354"/>
      <c r="T59" s="354"/>
      <c r="U59" s="354"/>
      <c r="V59" s="354"/>
      <c r="W59" s="354"/>
    </row>
    <row r="60" spans="1:23" ht="12.75">
      <c r="A60" s="15" t="s">
        <v>83</v>
      </c>
      <c r="B60" s="16"/>
      <c r="C60" s="173" t="s">
        <v>26</v>
      </c>
      <c r="D60" s="168">
        <f>-229000</f>
        <v>-229000</v>
      </c>
      <c r="E60" s="156">
        <v>0</v>
      </c>
      <c r="F60" s="396"/>
      <c r="G60" s="137" t="s">
        <v>270</v>
      </c>
      <c r="H60" s="319">
        <v>2250000</v>
      </c>
      <c r="I60" s="321">
        <f>I61*H60</f>
        <v>180000</v>
      </c>
      <c r="J60" s="320">
        <f>I60</f>
        <v>180000</v>
      </c>
      <c r="K60" s="139">
        <f>(K69-K52)*F61</f>
        <v>200220.83092190858</v>
      </c>
      <c r="L60" s="375">
        <f>(L69-L52)*F61</f>
        <v>221927.89521290857</v>
      </c>
      <c r="M60" s="355">
        <f>M69*F61</f>
        <v>248286.3724329522</v>
      </c>
      <c r="N60" s="140">
        <f>N69*F61</f>
        <v>271315.3969392742</v>
      </c>
      <c r="O60" s="375">
        <f>O69*F61</f>
        <v>295035.2921807857</v>
      </c>
      <c r="P60" s="355">
        <f>P69*F61</f>
        <v>319466.7842795427</v>
      </c>
      <c r="Q60" s="140">
        <f>Q69*F61</f>
        <v>344631.2211412622</v>
      </c>
      <c r="R60" s="355"/>
      <c r="S60" s="355"/>
      <c r="T60" s="355"/>
      <c r="U60" s="355"/>
      <c r="V60" s="355"/>
      <c r="W60" s="355"/>
    </row>
    <row r="61" spans="1:23" ht="12.75">
      <c r="A61" s="15"/>
      <c r="B61" s="16"/>
      <c r="C61" s="174"/>
      <c r="D61" s="165"/>
      <c r="E61" s="156"/>
      <c r="F61" s="347">
        <f>H60/-G79</f>
        <v>0.5555555555555556</v>
      </c>
      <c r="G61" s="400" t="s">
        <v>271</v>
      </c>
      <c r="H61" s="347">
        <f>H60/(H52+H56+H58+H60)</f>
        <v>0.40540540540540543</v>
      </c>
      <c r="I61" s="148">
        <v>0.08</v>
      </c>
      <c r="J61" s="158">
        <f>I61</f>
        <v>0.08</v>
      </c>
      <c r="K61" s="148">
        <f>K60/H60</f>
        <v>0.0889870359652927</v>
      </c>
      <c r="L61" s="376">
        <f>L60/H60</f>
        <v>0.09863462009462604</v>
      </c>
      <c r="M61" s="376">
        <f>M60/H60</f>
        <v>0.11034949885908986</v>
      </c>
      <c r="N61" s="158">
        <f>N60/H60</f>
        <v>0.12058462086189965</v>
      </c>
      <c r="O61" s="376">
        <f>O60/H60</f>
        <v>0.13112679652479364</v>
      </c>
      <c r="P61" s="376">
        <f>P60/H60</f>
        <v>0.14198523745757452</v>
      </c>
      <c r="Q61" s="158">
        <f>Q60/H60</f>
        <v>0.15316943161833876</v>
      </c>
      <c r="R61" s="354"/>
      <c r="S61" s="354"/>
      <c r="T61" s="354"/>
      <c r="U61" s="354"/>
      <c r="V61" s="354"/>
      <c r="W61" s="354"/>
    </row>
    <row r="62" spans="1:24" ht="12.75">
      <c r="A62" s="15" t="s">
        <v>85</v>
      </c>
      <c r="B62" s="16"/>
      <c r="C62" s="175" t="s">
        <v>26</v>
      </c>
      <c r="D62" s="176">
        <v>0</v>
      </c>
      <c r="E62" s="156">
        <v>0</v>
      </c>
      <c r="H62" s="97"/>
      <c r="J62" s="97"/>
      <c r="K62" s="97"/>
      <c r="L62" s="97"/>
      <c r="M62" s="97"/>
      <c r="N62" s="97"/>
      <c r="R62" s="155"/>
      <c r="S62" s="5"/>
      <c r="T62" s="5"/>
      <c r="U62" s="5"/>
      <c r="V62" s="5"/>
      <c r="W62" s="5"/>
      <c r="X62" s="16"/>
    </row>
    <row r="63" spans="1:23" ht="12.75">
      <c r="A63" s="136" t="s">
        <v>86</v>
      </c>
      <c r="B63" s="14"/>
      <c r="C63" s="179">
        <v>400</v>
      </c>
      <c r="D63" s="180" t="s">
        <v>34</v>
      </c>
      <c r="E63" s="181">
        <f>-C63*12</f>
        <v>-4800</v>
      </c>
      <c r="G63" s="160"/>
      <c r="H63" s="161" t="s">
        <v>242</v>
      </c>
      <c r="I63" s="161" t="str">
        <f>I51</f>
        <v>YR 2</v>
      </c>
      <c r="J63" s="161" t="str">
        <f>J51</f>
        <v>YR 3</v>
      </c>
      <c r="K63" s="161" t="str">
        <f>K51</f>
        <v>YR 4</v>
      </c>
      <c r="L63" s="161" t="str">
        <f>L51</f>
        <v>YR 5</v>
      </c>
      <c r="M63" s="161" t="str">
        <f>M51</f>
        <v>YR 6</v>
      </c>
      <c r="N63" s="161" t="str">
        <f>N51</f>
        <v>YR 7</v>
      </c>
      <c r="O63" s="161" t="str">
        <f>O51</f>
        <v>YR 8</v>
      </c>
      <c r="P63" s="161" t="str">
        <f>P51</f>
        <v>YR 9</v>
      </c>
      <c r="Q63" s="161" t="str">
        <f>Q51</f>
        <v>YR 10</v>
      </c>
      <c r="R63" s="360"/>
      <c r="S63" s="48"/>
      <c r="T63" s="5"/>
      <c r="U63" s="5"/>
      <c r="V63" s="5"/>
      <c r="W63" s="5"/>
    </row>
    <row r="64" spans="1:23" ht="12.75">
      <c r="A64" s="15" t="s">
        <v>88</v>
      </c>
      <c r="B64" s="16"/>
      <c r="C64" s="25">
        <v>0.01</v>
      </c>
      <c r="D64" s="165"/>
      <c r="E64" s="156">
        <f>-C64*D56</f>
        <v>-14036.06</v>
      </c>
      <c r="G64" s="163" t="s">
        <v>78</v>
      </c>
      <c r="H64" s="164"/>
      <c r="I64" s="164">
        <f>SUM(E51:E56)+E66</f>
        <v>1423606</v>
      </c>
      <c r="J64" s="164">
        <f>I64*1.03</f>
        <v>1466314.18</v>
      </c>
      <c r="K64" s="164">
        <f aca="true" t="shared" si="0" ref="K64:Q64">J64*1.03</f>
        <v>1510303.6054</v>
      </c>
      <c r="L64" s="164">
        <f t="shared" si="0"/>
        <v>1555612.713562</v>
      </c>
      <c r="M64" s="164">
        <f t="shared" si="0"/>
        <v>1602281.09496886</v>
      </c>
      <c r="N64" s="164">
        <f t="shared" si="0"/>
        <v>1650349.527817926</v>
      </c>
      <c r="O64" s="164">
        <f t="shared" si="0"/>
        <v>1699860.0136524637</v>
      </c>
      <c r="P64" s="164">
        <f t="shared" si="0"/>
        <v>1750855.8140620377</v>
      </c>
      <c r="Q64" s="164">
        <f t="shared" si="0"/>
        <v>1803381.4884838988</v>
      </c>
      <c r="R64" s="361"/>
      <c r="S64" s="352"/>
      <c r="T64" s="352"/>
      <c r="U64" s="352"/>
      <c r="V64" s="352"/>
      <c r="W64" s="352"/>
    </row>
    <row r="65" spans="1:23" ht="12.75">
      <c r="A65" s="310" t="s">
        <v>241</v>
      </c>
      <c r="B65" s="16"/>
      <c r="C65" s="25">
        <v>0.04</v>
      </c>
      <c r="D65" s="165"/>
      <c r="E65" s="156">
        <f>-C65*D56</f>
        <v>-56144.24</v>
      </c>
      <c r="F65" s="186"/>
      <c r="G65" s="87" t="s">
        <v>80</v>
      </c>
      <c r="H65" s="166"/>
      <c r="I65" s="166">
        <f>E68</f>
        <v>-195946.6</v>
      </c>
      <c r="J65" s="166">
        <f aca="true" t="shared" si="1" ref="J65:Q65">I65*103%</f>
        <v>-201824.99800000002</v>
      </c>
      <c r="K65" s="166">
        <f t="shared" si="1"/>
        <v>-207879.74794000003</v>
      </c>
      <c r="L65" s="166">
        <f t="shared" si="1"/>
        <v>-214116.14037820004</v>
      </c>
      <c r="M65" s="166">
        <f t="shared" si="1"/>
        <v>-220539.62458954606</v>
      </c>
      <c r="N65" s="166">
        <f t="shared" si="1"/>
        <v>-227155.81332723243</v>
      </c>
      <c r="O65" s="166">
        <f t="shared" si="1"/>
        <v>-233970.48772704942</v>
      </c>
      <c r="P65" s="166">
        <f t="shared" si="1"/>
        <v>-240989.6023588609</v>
      </c>
      <c r="Q65" s="166">
        <f t="shared" si="1"/>
        <v>-248219.29042962674</v>
      </c>
      <c r="R65" s="360"/>
      <c r="S65" s="155"/>
      <c r="T65" s="155"/>
      <c r="U65" s="155"/>
      <c r="V65" s="155"/>
      <c r="W65" s="155"/>
    </row>
    <row r="66" spans="1:23" ht="12.75">
      <c r="A66" s="397" t="s">
        <v>238</v>
      </c>
      <c r="B66" s="5"/>
      <c r="C66" s="189"/>
      <c r="D66" s="165"/>
      <c r="E66" s="156">
        <v>20000</v>
      </c>
      <c r="G66" s="169"/>
      <c r="H66" s="170"/>
      <c r="I66" s="170"/>
      <c r="J66" s="170"/>
      <c r="K66" s="170"/>
      <c r="L66" s="170"/>
      <c r="M66" s="170"/>
      <c r="N66" s="170"/>
      <c r="O66" s="170"/>
      <c r="P66" s="170"/>
      <c r="Q66" s="170"/>
      <c r="R66" s="360"/>
      <c r="S66" s="155"/>
      <c r="T66" s="155"/>
      <c r="U66" s="155"/>
      <c r="V66" s="155"/>
      <c r="W66" s="155"/>
    </row>
    <row r="67" spans="1:23" ht="13.5" thickBot="1">
      <c r="A67" s="193" t="s">
        <v>91</v>
      </c>
      <c r="B67" s="194"/>
      <c r="C67" s="195">
        <f>E67/-D56</f>
        <v>0.03618251845603396</v>
      </c>
      <c r="D67" s="196"/>
      <c r="E67" s="197">
        <v>-50786</v>
      </c>
      <c r="F67" s="396"/>
      <c r="G67" s="87" t="s">
        <v>82</v>
      </c>
      <c r="H67" s="166">
        <v>0</v>
      </c>
      <c r="I67" s="166">
        <f>SUM(I64:I66)</f>
        <v>1227659.4</v>
      </c>
      <c r="J67" s="166">
        <f>SUM(J64:J66)</f>
        <v>1264489.182</v>
      </c>
      <c r="K67" s="166">
        <f>SUM(K64:K66)-E61/2</f>
        <v>1302423.85746</v>
      </c>
      <c r="L67" s="166">
        <f>SUM(L64:L66)-E61/2</f>
        <v>1341496.5731838</v>
      </c>
      <c r="M67" s="166">
        <f>SUM(M64:M66)-E61/2</f>
        <v>1381741.470379314</v>
      </c>
      <c r="N67" s="166">
        <f>SUM(N64:N66)-E61</f>
        <v>1423193.7144906935</v>
      </c>
      <c r="O67" s="166">
        <f>SUM(O64:O66)-E61</f>
        <v>1465889.5259254142</v>
      </c>
      <c r="P67" s="166">
        <f>SUM(P64:P66)-E61</f>
        <v>1509866.2117031768</v>
      </c>
      <c r="Q67" s="166">
        <f>SUM(Q64:Q66)-E61</f>
        <v>1555162.198054272</v>
      </c>
      <c r="R67" s="360"/>
      <c r="S67" s="155"/>
      <c r="T67" s="155"/>
      <c r="U67" s="155"/>
      <c r="V67" s="155"/>
      <c r="W67" s="155"/>
    </row>
    <row r="68" spans="1:23" ht="13.5" thickBot="1">
      <c r="A68" s="201" t="s">
        <v>93</v>
      </c>
      <c r="B68" s="202"/>
      <c r="C68" s="203">
        <f>-(E68/D56)</f>
        <v>0.13960228155194548</v>
      </c>
      <c r="D68" s="203"/>
      <c r="E68" s="204">
        <f>SUM(E57:E67)-E66</f>
        <v>-195946.6</v>
      </c>
      <c r="G68" s="169" t="s">
        <v>84</v>
      </c>
      <c r="H68" s="170">
        <v>0</v>
      </c>
      <c r="I68" s="170">
        <f>I45+H47</f>
        <v>-822026.3618005647</v>
      </c>
      <c r="J68" s="170">
        <f aca="true" t="shared" si="2" ref="J68:Q68">I68</f>
        <v>-822026.3618005647</v>
      </c>
      <c r="K68" s="170">
        <f t="shared" si="2"/>
        <v>-822026.3618005647</v>
      </c>
      <c r="L68" s="170">
        <f t="shared" si="2"/>
        <v>-822026.3618005647</v>
      </c>
      <c r="M68" s="170">
        <v>-934826</v>
      </c>
      <c r="N68" s="170">
        <f t="shared" si="2"/>
        <v>-934826</v>
      </c>
      <c r="O68" s="170">
        <f t="shared" si="2"/>
        <v>-934826</v>
      </c>
      <c r="P68" s="170">
        <f t="shared" si="2"/>
        <v>-934826</v>
      </c>
      <c r="Q68" s="170">
        <f t="shared" si="2"/>
        <v>-934826</v>
      </c>
      <c r="R68" s="360"/>
      <c r="S68" s="155"/>
      <c r="T68" s="155"/>
      <c r="U68" s="155"/>
      <c r="V68" s="155"/>
      <c r="W68" s="155"/>
    </row>
    <row r="69" spans="1:23" ht="12.75">
      <c r="A69" s="51" t="s">
        <v>95</v>
      </c>
      <c r="B69" s="29"/>
      <c r="E69" s="156">
        <v>0</v>
      </c>
      <c r="G69" s="87" t="s">
        <v>58</v>
      </c>
      <c r="H69" s="167">
        <f>I16+I15</f>
        <v>324000</v>
      </c>
      <c r="I69" s="167">
        <f>I67+I68</f>
        <v>405633.0381994352</v>
      </c>
      <c r="J69" s="167">
        <f aca="true" t="shared" si="3" ref="J69:Q69">J67+J68</f>
        <v>442462.82019943534</v>
      </c>
      <c r="K69" s="167">
        <f t="shared" si="3"/>
        <v>480397.4956594354</v>
      </c>
      <c r="L69" s="167">
        <f t="shared" si="3"/>
        <v>519470.2113832354</v>
      </c>
      <c r="M69" s="167">
        <f t="shared" si="3"/>
        <v>446915.4703793139</v>
      </c>
      <c r="N69" s="167">
        <f t="shared" si="3"/>
        <v>488367.7144906935</v>
      </c>
      <c r="O69" s="167">
        <f t="shared" si="3"/>
        <v>531063.5259254142</v>
      </c>
      <c r="P69" s="167">
        <f t="shared" si="3"/>
        <v>575040.2117031768</v>
      </c>
      <c r="Q69" s="166">
        <f t="shared" si="3"/>
        <v>620336.198054272</v>
      </c>
      <c r="R69" s="360"/>
      <c r="S69" s="155"/>
      <c r="T69" s="155"/>
      <c r="U69" s="155"/>
      <c r="V69" s="155"/>
      <c r="W69" s="155"/>
    </row>
    <row r="70" spans="1:23" ht="12.75">
      <c r="A70" s="51" t="s">
        <v>96</v>
      </c>
      <c r="B70" s="29"/>
      <c r="E70" s="206">
        <f>E68/E17</f>
        <v>-3.474908226781819</v>
      </c>
      <c r="G70" s="169" t="s">
        <v>228</v>
      </c>
      <c r="H70" s="177">
        <v>0</v>
      </c>
      <c r="I70" s="370">
        <f>0.01*I47</f>
        <v>0</v>
      </c>
      <c r="J70" s="370">
        <f>I70</f>
        <v>0</v>
      </c>
      <c r="K70" s="370">
        <f>J70</f>
        <v>0</v>
      </c>
      <c r="L70" s="370">
        <f>K70</f>
        <v>0</v>
      </c>
      <c r="M70" s="370"/>
      <c r="N70" s="178"/>
      <c r="O70" s="178"/>
      <c r="P70" s="178"/>
      <c r="Q70" s="350"/>
      <c r="R70" s="360"/>
      <c r="S70" s="155"/>
      <c r="T70" s="155"/>
      <c r="U70" s="155"/>
      <c r="V70" s="155"/>
      <c r="W70" s="155"/>
    </row>
    <row r="71" spans="1:23" ht="13.5" thickBot="1">
      <c r="A71" s="15"/>
      <c r="B71" s="16"/>
      <c r="E71" s="156"/>
      <c r="G71" s="182" t="s">
        <v>87</v>
      </c>
      <c r="H71" s="183"/>
      <c r="I71" s="183">
        <f aca="true" t="shared" si="4" ref="I71:Q71">-I67/I68</f>
        <v>1.4934550241319968</v>
      </c>
      <c r="J71" s="184">
        <f t="shared" si="4"/>
        <v>1.5382586748559568</v>
      </c>
      <c r="K71" s="184">
        <f t="shared" si="4"/>
        <v>1.5844064351016356</v>
      </c>
      <c r="L71" s="184">
        <f t="shared" si="4"/>
        <v>1.6319386281546848</v>
      </c>
      <c r="M71" s="184">
        <f t="shared" si="4"/>
        <v>1.4780734279740977</v>
      </c>
      <c r="N71" s="184">
        <f t="shared" si="4"/>
        <v>1.522415630813321</v>
      </c>
      <c r="O71" s="184">
        <f t="shared" si="4"/>
        <v>1.5680880997377205</v>
      </c>
      <c r="P71" s="184">
        <f t="shared" si="4"/>
        <v>1.6151307427298522</v>
      </c>
      <c r="Q71" s="351">
        <f t="shared" si="4"/>
        <v>1.6635846650117476</v>
      </c>
      <c r="R71" s="362"/>
      <c r="S71" s="356"/>
      <c r="T71" s="356"/>
      <c r="U71" s="356"/>
      <c r="V71" s="356"/>
      <c r="W71" s="356"/>
    </row>
    <row r="72" spans="1:23" ht="13.5" thickBot="1">
      <c r="A72" s="143" t="s">
        <v>52</v>
      </c>
      <c r="B72" s="144"/>
      <c r="C72" s="124"/>
      <c r="D72" s="124"/>
      <c r="E72" s="207">
        <f>SUM(E51:E67)</f>
        <v>1227659.4</v>
      </c>
      <c r="G72" t="s">
        <v>89</v>
      </c>
      <c r="H72" s="185"/>
      <c r="I72" s="185"/>
      <c r="J72" s="185"/>
      <c r="K72" s="185"/>
      <c r="L72" s="185"/>
      <c r="M72" s="185"/>
      <c r="N72" s="185"/>
      <c r="O72" s="185"/>
      <c r="P72" s="185"/>
      <c r="Q72" s="185"/>
      <c r="R72" s="363"/>
      <c r="S72" s="357"/>
      <c r="T72" s="357"/>
      <c r="U72" s="357"/>
      <c r="V72" s="357"/>
      <c r="W72" s="357"/>
    </row>
    <row r="73" spans="7:23" ht="12.75">
      <c r="G73" s="182" t="s">
        <v>90</v>
      </c>
      <c r="H73" s="187"/>
      <c r="I73" s="187">
        <f>I25</f>
        <v>21074819.700000003</v>
      </c>
      <c r="J73" s="187">
        <f aca="true" t="shared" si="5" ref="J73:Q73">I73*1.03</f>
        <v>21707064.291000005</v>
      </c>
      <c r="K73" s="187">
        <f t="shared" si="5"/>
        <v>22358276.219730005</v>
      </c>
      <c r="L73" s="348">
        <f t="shared" si="5"/>
        <v>23029024.506321907</v>
      </c>
      <c r="M73" s="348">
        <f t="shared" si="5"/>
        <v>23719895.241511565</v>
      </c>
      <c r="N73" s="187">
        <f t="shared" si="5"/>
        <v>24431492.098756913</v>
      </c>
      <c r="O73" s="187">
        <f t="shared" si="5"/>
        <v>25164436.86171962</v>
      </c>
      <c r="P73" s="187">
        <f t="shared" si="5"/>
        <v>25919369.96757121</v>
      </c>
      <c r="Q73" s="188">
        <f t="shared" si="5"/>
        <v>26696951.06659835</v>
      </c>
      <c r="R73" s="360"/>
      <c r="S73" s="155"/>
      <c r="T73" s="155"/>
      <c r="U73" s="155"/>
      <c r="V73" s="155"/>
      <c r="W73" s="155"/>
    </row>
    <row r="74" spans="7:23" ht="12.75">
      <c r="G74" s="190" t="s">
        <v>222</v>
      </c>
      <c r="H74" s="191"/>
      <c r="I74" s="191"/>
      <c r="J74" s="192"/>
      <c r="K74" s="192"/>
      <c r="L74" s="192"/>
      <c r="M74" s="192"/>
      <c r="N74" s="192"/>
      <c r="O74" s="192"/>
      <c r="P74" s="192"/>
      <c r="Q74" s="188">
        <f>Q73*0.95</f>
        <v>25362103.51326843</v>
      </c>
      <c r="R74" s="364"/>
      <c r="S74" s="359"/>
      <c r="T74" s="359"/>
      <c r="U74" s="359"/>
      <c r="V74" s="359"/>
      <c r="W74" s="358"/>
    </row>
    <row r="75" spans="7:23" ht="13.5" thickBot="1">
      <c r="G75" s="198" t="s">
        <v>92</v>
      </c>
      <c r="H75" s="199"/>
      <c r="I75" s="199"/>
      <c r="J75" s="200"/>
      <c r="K75" s="200"/>
      <c r="L75" s="192"/>
      <c r="M75" s="200"/>
      <c r="N75" s="200"/>
      <c r="O75" s="200"/>
      <c r="P75" s="200"/>
      <c r="Q75" s="188">
        <f>('Loan Amortization Schedule _2_'!I125+H52)+1500000</f>
        <v>12531135.076971956</v>
      </c>
      <c r="R75" s="365"/>
      <c r="S75" s="5"/>
      <c r="T75" s="5"/>
      <c r="U75" s="5"/>
      <c r="V75" s="5"/>
      <c r="W75" s="358"/>
    </row>
    <row r="76" spans="7:23" ht="13.5" thickBot="1">
      <c r="G76" s="182" t="s">
        <v>94</v>
      </c>
      <c r="H76" s="205"/>
      <c r="I76" s="205"/>
      <c r="L76" s="406" t="s">
        <v>264</v>
      </c>
      <c r="Q76" s="188">
        <f>Q74-Q75+P72</f>
        <v>12830968.436296474</v>
      </c>
      <c r="R76" s="365"/>
      <c r="S76" s="5"/>
      <c r="T76" s="5"/>
      <c r="U76" s="5"/>
      <c r="V76" s="5"/>
      <c r="W76" s="358"/>
    </row>
    <row r="77" spans="7:23" ht="12.75">
      <c r="G77" s="53"/>
      <c r="H77" s="52"/>
      <c r="I77" s="52"/>
      <c r="J77" s="52"/>
      <c r="K77" s="155"/>
      <c r="L77" s="5"/>
      <c r="M77" s="5"/>
      <c r="N77" s="5"/>
      <c r="O77" s="5"/>
      <c r="P77" s="5"/>
      <c r="Q77" s="5"/>
      <c r="R77" s="365"/>
      <c r="S77" s="5"/>
      <c r="T77" s="5"/>
      <c r="U77" s="5"/>
      <c r="V77" s="5"/>
      <c r="W77" s="358"/>
    </row>
    <row r="78" spans="7:23" ht="12.75">
      <c r="G78" s="339" t="s">
        <v>226</v>
      </c>
      <c r="H78" s="340">
        <f>IRR(G79:Q79)</f>
        <v>0.19561476941627998</v>
      </c>
      <c r="I78" s="340"/>
      <c r="J78" s="340"/>
      <c r="K78" s="341"/>
      <c r="L78" s="341"/>
      <c r="M78" s="341"/>
      <c r="N78" s="341"/>
      <c r="O78" s="341"/>
      <c r="P78" s="341"/>
      <c r="Q78" s="383"/>
      <c r="R78" s="365"/>
      <c r="S78" s="5"/>
      <c r="T78" s="5"/>
      <c r="U78" s="5"/>
      <c r="V78" s="5"/>
      <c r="W78" s="5"/>
    </row>
    <row r="79" spans="7:23" ht="12.75">
      <c r="G79" s="373">
        <f>-H56-H58-H60</f>
        <v>-4050000</v>
      </c>
      <c r="H79" s="384">
        <f>H69</f>
        <v>324000</v>
      </c>
      <c r="I79" s="384">
        <f>I69</f>
        <v>405633.0381994352</v>
      </c>
      <c r="J79" s="384">
        <f aca="true" t="shared" si="6" ref="J79:P79">J69</f>
        <v>442462.82019943534</v>
      </c>
      <c r="K79" s="384">
        <f t="shared" si="6"/>
        <v>480397.4956594354</v>
      </c>
      <c r="L79" s="384">
        <f t="shared" si="6"/>
        <v>519470.2113832354</v>
      </c>
      <c r="M79" s="384">
        <f t="shared" si="6"/>
        <v>446915.4703793139</v>
      </c>
      <c r="N79" s="384">
        <f t="shared" si="6"/>
        <v>488367.7144906935</v>
      </c>
      <c r="O79" s="384">
        <f t="shared" si="6"/>
        <v>531063.5259254142</v>
      </c>
      <c r="P79" s="384">
        <f t="shared" si="6"/>
        <v>575040.2117031768</v>
      </c>
      <c r="Q79" s="385">
        <f>Q69+Q76</f>
        <v>13451304.634350747</v>
      </c>
      <c r="R79" s="365"/>
      <c r="S79" s="5"/>
      <c r="T79" s="5"/>
      <c r="U79" s="5"/>
      <c r="V79" s="5"/>
      <c r="W79" s="5"/>
    </row>
    <row r="80" spans="5:23" ht="12.75">
      <c r="E80" s="16"/>
      <c r="F80" s="16"/>
      <c r="G80" s="386"/>
      <c r="H80" s="205"/>
      <c r="I80" s="205"/>
      <c r="J80" s="205"/>
      <c r="K80" s="16"/>
      <c r="L80" s="16"/>
      <c r="M80" s="16"/>
      <c r="N80" s="16"/>
      <c r="O80" s="16"/>
      <c r="P80" s="16"/>
      <c r="Q80" s="16"/>
      <c r="R80" s="155"/>
      <c r="S80" s="155"/>
      <c r="T80" s="155"/>
      <c r="U80" s="155"/>
      <c r="V80" s="155"/>
      <c r="W80" s="155"/>
    </row>
    <row r="81" spans="1:23" ht="12.75">
      <c r="A81" s="53" t="s">
        <v>218</v>
      </c>
      <c r="E81" s="16"/>
      <c r="F81" s="16"/>
      <c r="G81" s="382"/>
      <c r="H81" s="185"/>
      <c r="I81" s="185"/>
      <c r="J81" s="185"/>
      <c r="K81" s="185"/>
      <c r="L81" s="185"/>
      <c r="M81" s="185"/>
      <c r="N81" s="185"/>
      <c r="O81" s="185"/>
      <c r="P81" s="185"/>
      <c r="Q81" s="185"/>
      <c r="R81" s="106"/>
      <c r="S81" s="5"/>
      <c r="T81" s="5"/>
      <c r="U81" s="5"/>
      <c r="V81" s="5"/>
      <c r="W81" s="5"/>
    </row>
    <row r="82" spans="1:17" ht="12.75" customHeight="1">
      <c r="A82" s="309" t="s">
        <v>215</v>
      </c>
      <c r="E82" s="16"/>
      <c r="F82" s="16"/>
      <c r="G82" s="386"/>
      <c r="H82" s="205"/>
      <c r="I82" s="205"/>
      <c r="J82" s="205"/>
      <c r="K82" s="16"/>
      <c r="L82" s="16"/>
      <c r="M82" s="16"/>
      <c r="N82" s="16"/>
      <c r="O82" s="16"/>
      <c r="P82" s="16"/>
      <c r="Q82" s="16"/>
    </row>
    <row r="83" spans="1:17" ht="12" customHeight="1">
      <c r="A83" s="309" t="s">
        <v>216</v>
      </c>
      <c r="E83" s="16"/>
      <c r="F83" s="16"/>
      <c r="G83" s="382"/>
      <c r="H83" s="185"/>
      <c r="I83" s="185"/>
      <c r="J83" s="185"/>
      <c r="K83" s="185"/>
      <c r="L83" s="185"/>
      <c r="M83" s="185"/>
      <c r="N83" s="185"/>
      <c r="O83" s="185"/>
      <c r="P83" s="185"/>
      <c r="Q83" s="185"/>
    </row>
    <row r="84" ht="12" customHeight="1">
      <c r="A84" s="309" t="s">
        <v>217</v>
      </c>
    </row>
    <row r="85" ht="11.25" customHeight="1">
      <c r="L85" s="97"/>
    </row>
    <row r="86" ht="11.25" customHeight="1">
      <c r="A86" s="309"/>
    </row>
    <row r="87" ht="11.25" customHeight="1"/>
    <row r="88" ht="11.25" customHeight="1"/>
    <row r="65536" ht="12.75"/>
  </sheetData>
  <sheetProtection selectLockedCells="1" selectUnlockedCells="1"/>
  <mergeCells count="9">
    <mergeCell ref="A50:E50"/>
    <mergeCell ref="A1:I1"/>
    <mergeCell ref="A3:I3"/>
    <mergeCell ref="A5:E5"/>
    <mergeCell ref="G5:I5"/>
    <mergeCell ref="A31:E31"/>
    <mergeCell ref="G19:I19"/>
    <mergeCell ref="G33:I33"/>
    <mergeCell ref="G50:I50"/>
  </mergeCells>
  <printOptions gridLines="1"/>
  <pageMargins left="0.5" right="0.5" top="0.9840277777777777" bottom="0.9840277777777777" header="0.5118055555555555" footer="0.5118055555555555"/>
  <pageSetup fitToHeight="1" fitToWidth="1" horizontalDpi="600" verticalDpi="600" orientation="landscape" paperSize="17" scale="61"/>
</worksheet>
</file>

<file path=xl/worksheets/sheet2.xml><?xml version="1.0" encoding="utf-8"?>
<worksheet xmlns="http://schemas.openxmlformats.org/spreadsheetml/2006/main" xmlns:r="http://schemas.openxmlformats.org/officeDocument/2006/relationships">
  <dimension ref="A1:O109"/>
  <sheetViews>
    <sheetView zoomScale="85" zoomScaleNormal="85" zoomScalePageLayoutView="0" workbookViewId="0" topLeftCell="A28">
      <selection activeCell="K50" sqref="K50"/>
    </sheetView>
  </sheetViews>
  <sheetFormatPr defaultColWidth="8.8515625" defaultRowHeight="12.75"/>
  <cols>
    <col min="1" max="1" width="8.8515625" style="0" customWidth="1"/>
    <col min="2" max="2" width="30.421875" style="0" customWidth="1"/>
    <col min="3" max="3" width="10.7109375" style="0" customWidth="1"/>
    <col min="4" max="4" width="10.140625" style="0" customWidth="1"/>
    <col min="5" max="6" width="8.8515625" style="0" customWidth="1"/>
    <col min="7" max="7" width="9.7109375" style="0" customWidth="1"/>
    <col min="8" max="8" width="12.140625" style="0" customWidth="1"/>
    <col min="9" max="9" width="13.00390625" style="208" customWidth="1"/>
    <col min="10" max="10" width="12.00390625" style="208" customWidth="1"/>
    <col min="11" max="11" width="15.28125" style="208" customWidth="1"/>
    <col min="12" max="12" width="52.140625" style="0" customWidth="1"/>
    <col min="13" max="13" width="5.8515625" style="0" customWidth="1"/>
    <col min="14" max="14" width="3.421875" style="0" customWidth="1"/>
    <col min="15" max="15" width="12.8515625" style="0" customWidth="1"/>
  </cols>
  <sheetData>
    <row r="1" spans="1:11" ht="24" customHeight="1">
      <c r="A1" s="411" t="str">
        <f>'Proforma 2'!A1</f>
        <v>Fair-Haired Dumbbell, $9.85M Hard Costs</v>
      </c>
      <c r="B1" s="411"/>
      <c r="C1" s="411"/>
      <c r="D1" s="411"/>
      <c r="E1" s="411"/>
      <c r="F1" s="411"/>
      <c r="G1" s="411"/>
      <c r="H1" s="411"/>
      <c r="I1" s="411"/>
      <c r="J1" s="411"/>
      <c r="K1" s="411"/>
    </row>
    <row r="2" spans="1:11" ht="12" customHeight="1">
      <c r="A2" s="209"/>
      <c r="B2" s="16"/>
      <c r="C2" s="16"/>
      <c r="D2" s="16"/>
      <c r="E2" s="16"/>
      <c r="F2" s="16"/>
      <c r="G2" s="16"/>
      <c r="H2" s="16"/>
      <c r="K2" s="210"/>
    </row>
    <row r="3" spans="1:11" ht="12" customHeight="1">
      <c r="A3" s="412"/>
      <c r="B3" s="412"/>
      <c r="C3" s="412"/>
      <c r="D3" s="412"/>
      <c r="E3" s="412"/>
      <c r="F3" s="412"/>
      <c r="G3" s="412"/>
      <c r="H3" s="412"/>
      <c r="I3" s="412"/>
      <c r="J3" s="412"/>
      <c r="K3" s="412"/>
    </row>
    <row r="4" spans="1:15" ht="18.75" customHeight="1">
      <c r="A4" s="211" t="s">
        <v>97</v>
      </c>
      <c r="B4" s="212"/>
      <c r="C4" s="16"/>
      <c r="D4" s="16"/>
      <c r="E4" s="16"/>
      <c r="F4" s="16"/>
      <c r="G4" s="16"/>
      <c r="H4" s="16"/>
      <c r="I4" s="213">
        <f>'Proforma 2'!C32</f>
        <v>85.29411764705883</v>
      </c>
      <c r="J4" s="208" t="s">
        <v>98</v>
      </c>
      <c r="K4" s="214">
        <f>'Proforma 2'!E32</f>
        <v>1160000</v>
      </c>
      <c r="O4" s="208"/>
    </row>
    <row r="5" spans="1:15" ht="12.75">
      <c r="A5" s="215" t="s">
        <v>99</v>
      </c>
      <c r="B5" s="216"/>
      <c r="C5" s="217"/>
      <c r="D5" s="217"/>
      <c r="E5" s="217"/>
      <c r="F5" s="217"/>
      <c r="G5" s="217"/>
      <c r="H5" s="217"/>
      <c r="I5" s="218"/>
      <c r="J5" s="218"/>
      <c r="K5" s="219"/>
      <c r="O5" s="208"/>
    </row>
    <row r="6" spans="1:15" ht="12.75">
      <c r="A6" s="220"/>
      <c r="B6" s="221" t="s">
        <v>248</v>
      </c>
      <c r="C6" s="16"/>
      <c r="D6" s="16"/>
      <c r="E6" s="16"/>
      <c r="F6" s="16"/>
      <c r="G6" s="222">
        <f>'Proforma 2'!C33</f>
        <v>174.67945875968718</v>
      </c>
      <c r="H6" s="16" t="s">
        <v>100</v>
      </c>
      <c r="I6" s="208">
        <f>'Proforma 2'!E33</f>
        <v>9850000</v>
      </c>
      <c r="K6" s="210"/>
      <c r="O6" s="208"/>
    </row>
    <row r="7" spans="1:15" ht="12.75">
      <c r="A7" s="220"/>
      <c r="B7" s="221" t="s">
        <v>101</v>
      </c>
      <c r="C7" s="16"/>
      <c r="D7" s="16"/>
      <c r="E7" s="16"/>
      <c r="F7" s="16" t="s">
        <v>102</v>
      </c>
      <c r="G7" s="174">
        <f>'Proforma 2'!C34</f>
        <v>0</v>
      </c>
      <c r="H7" s="16" t="s">
        <v>100</v>
      </c>
      <c r="I7" s="208">
        <v>0</v>
      </c>
      <c r="K7" s="210"/>
      <c r="O7" s="208"/>
    </row>
    <row r="8" spans="1:15" ht="12.75">
      <c r="A8" s="220"/>
      <c r="B8" s="223" t="s">
        <v>219</v>
      </c>
      <c r="C8" s="16"/>
      <c r="D8" s="16"/>
      <c r="E8" s="16"/>
      <c r="F8" s="16" t="s">
        <v>102</v>
      </c>
      <c r="G8" s="174">
        <v>0</v>
      </c>
      <c r="H8" s="16" t="s">
        <v>100</v>
      </c>
      <c r="I8" s="208">
        <v>0</v>
      </c>
      <c r="K8" s="210"/>
      <c r="O8" s="208"/>
    </row>
    <row r="9" spans="1:15" ht="12.75">
      <c r="A9" s="220"/>
      <c r="B9" s="223" t="s">
        <v>245</v>
      </c>
      <c r="C9" s="16"/>
      <c r="D9" s="16"/>
      <c r="E9" s="16"/>
      <c r="F9" s="16" t="s">
        <v>102</v>
      </c>
      <c r="G9" s="174">
        <v>0</v>
      </c>
      <c r="H9" s="16" t="s">
        <v>100</v>
      </c>
      <c r="I9" s="208">
        <f>'Proforma 2'!E34</f>
        <v>250000</v>
      </c>
      <c r="K9" s="210"/>
      <c r="O9" s="208"/>
    </row>
    <row r="10" spans="1:15" ht="12.75">
      <c r="A10" s="220"/>
      <c r="B10" s="223" t="s">
        <v>103</v>
      </c>
      <c r="C10" s="16"/>
      <c r="D10" s="16"/>
      <c r="E10" s="16"/>
      <c r="F10" s="16" t="s">
        <v>102</v>
      </c>
      <c r="G10" s="174">
        <v>0</v>
      </c>
      <c r="H10" s="16" t="s">
        <v>100</v>
      </c>
      <c r="K10" s="210"/>
      <c r="O10" s="208"/>
    </row>
    <row r="11" spans="1:15" ht="12.75">
      <c r="A11" s="220"/>
      <c r="B11" s="223" t="s">
        <v>104</v>
      </c>
      <c r="C11" s="16"/>
      <c r="D11" s="16"/>
      <c r="E11" s="16"/>
      <c r="F11" s="16" t="s">
        <v>102</v>
      </c>
      <c r="G11" s="174">
        <v>0</v>
      </c>
      <c r="H11" s="16" t="s">
        <v>100</v>
      </c>
      <c r="I11" s="208">
        <v>0</v>
      </c>
      <c r="K11" s="210"/>
      <c r="O11" s="208"/>
    </row>
    <row r="12" spans="1:15" ht="12.75">
      <c r="A12" s="220"/>
      <c r="B12" s="223" t="s">
        <v>105</v>
      </c>
      <c r="C12" s="16"/>
      <c r="D12" s="16"/>
      <c r="E12" s="16"/>
      <c r="F12" s="16" t="s">
        <v>106</v>
      </c>
      <c r="G12" s="174">
        <v>0</v>
      </c>
      <c r="H12" s="16" t="s">
        <v>100</v>
      </c>
      <c r="I12" s="208">
        <f>G12*'Proforma 2'!E23</f>
        <v>0</v>
      </c>
      <c r="K12" s="210"/>
      <c r="O12" s="208"/>
    </row>
    <row r="13" spans="1:15" ht="12.75">
      <c r="A13" s="220"/>
      <c r="B13" s="223" t="s">
        <v>250</v>
      </c>
      <c r="C13" s="16"/>
      <c r="D13" s="16"/>
      <c r="E13" s="16"/>
      <c r="F13" s="16" t="s">
        <v>102</v>
      </c>
      <c r="G13" s="224"/>
      <c r="H13" s="16" t="s">
        <v>100</v>
      </c>
      <c r="I13" s="208">
        <f>200000+20000+15000</f>
        <v>235000</v>
      </c>
      <c r="K13" s="210"/>
      <c r="O13" s="208"/>
    </row>
    <row r="14" spans="1:15" ht="12.75">
      <c r="A14" s="220"/>
      <c r="B14" s="223" t="s">
        <v>107</v>
      </c>
      <c r="C14" s="16"/>
      <c r="D14" s="16"/>
      <c r="E14" s="16"/>
      <c r="F14" s="16" t="s">
        <v>102</v>
      </c>
      <c r="G14" s="174">
        <v>20</v>
      </c>
      <c r="H14" s="16" t="s">
        <v>100</v>
      </c>
      <c r="I14" s="208">
        <f>G14*'Proforma 2'!E8</f>
        <v>808680</v>
      </c>
      <c r="K14" s="210"/>
      <c r="O14" s="208"/>
    </row>
    <row r="15" spans="1:15" ht="12.75">
      <c r="A15" s="220"/>
      <c r="B15" s="223" t="s">
        <v>108</v>
      </c>
      <c r="C15" s="106"/>
      <c r="D15" s="16"/>
      <c r="E15" s="16"/>
      <c r="F15" s="16" t="s">
        <v>106</v>
      </c>
      <c r="G15" s="174">
        <v>0</v>
      </c>
      <c r="H15" s="16" t="s">
        <v>100</v>
      </c>
      <c r="K15" s="210"/>
      <c r="O15" s="208"/>
    </row>
    <row r="16" spans="1:15" ht="12.75">
      <c r="A16" s="220"/>
      <c r="B16" s="225" t="s">
        <v>109</v>
      </c>
      <c r="C16" s="226"/>
      <c r="D16" s="88"/>
      <c r="E16" s="88"/>
      <c r="F16" s="88"/>
      <c r="G16" s="88"/>
      <c r="H16" s="88"/>
      <c r="I16" s="78">
        <f>SUM(I6:I15)</f>
        <v>11143680</v>
      </c>
      <c r="K16" s="210"/>
      <c r="O16" s="208"/>
    </row>
    <row r="17" spans="1:15" ht="12.75">
      <c r="A17" s="220"/>
      <c r="B17" s="227" t="s">
        <v>249</v>
      </c>
      <c r="C17" s="228">
        <v>0.03</v>
      </c>
      <c r="D17" s="192"/>
      <c r="E17" s="192"/>
      <c r="F17" s="192"/>
      <c r="G17" s="192"/>
      <c r="H17" s="192"/>
      <c r="I17" s="229">
        <f>C17*I6</f>
        <v>295500</v>
      </c>
      <c r="K17" s="210"/>
      <c r="O17" s="208"/>
    </row>
    <row r="18" spans="1:15" ht="12.75">
      <c r="A18" s="220"/>
      <c r="B18" s="223"/>
      <c r="C18" s="16"/>
      <c r="D18" s="16"/>
      <c r="E18" s="16"/>
      <c r="F18" s="16"/>
      <c r="G18" s="16"/>
      <c r="H18" s="16"/>
      <c r="K18" s="210"/>
      <c r="O18" s="208"/>
    </row>
    <row r="19" spans="1:15" ht="12.75">
      <c r="A19" s="230"/>
      <c r="B19" s="231" t="s">
        <v>110</v>
      </c>
      <c r="C19" s="16"/>
      <c r="D19" s="16"/>
      <c r="E19" s="16"/>
      <c r="F19" s="16"/>
      <c r="G19" s="16"/>
      <c r="H19" s="16"/>
      <c r="K19" s="232">
        <f>SUM(I16:I17)</f>
        <v>11439180</v>
      </c>
      <c r="O19" s="208"/>
    </row>
    <row r="20" spans="1:15" ht="12.75">
      <c r="A20" s="215" t="s">
        <v>111</v>
      </c>
      <c r="B20" s="216"/>
      <c r="C20" s="217"/>
      <c r="D20" s="217"/>
      <c r="E20" s="217"/>
      <c r="F20" s="217"/>
      <c r="G20" s="217"/>
      <c r="H20" s="217"/>
      <c r="I20" s="218"/>
      <c r="J20" s="218"/>
      <c r="K20" s="219"/>
      <c r="O20" s="208"/>
    </row>
    <row r="21" spans="1:15" ht="12.75">
      <c r="A21" s="233"/>
      <c r="B21" s="223" t="s">
        <v>112</v>
      </c>
      <c r="C21" s="16"/>
      <c r="D21" s="16"/>
      <c r="E21" s="16"/>
      <c r="F21" s="16"/>
      <c r="G21" s="234">
        <f>I21/I16</f>
        <v>0.0008390406041810245</v>
      </c>
      <c r="H21" s="16" t="s">
        <v>113</v>
      </c>
      <c r="I21" s="208">
        <v>9350</v>
      </c>
      <c r="K21" s="210"/>
      <c r="O21" s="208"/>
    </row>
    <row r="22" spans="1:15" ht="12.75">
      <c r="A22" s="233"/>
      <c r="B22" s="223" t="s">
        <v>114</v>
      </c>
      <c r="C22" s="16"/>
      <c r="D22" s="16"/>
      <c r="E22" s="16"/>
      <c r="F22" s="16"/>
      <c r="G22" s="234">
        <f>I22/I16</f>
        <v>0</v>
      </c>
      <c r="H22" s="16" t="s">
        <v>113</v>
      </c>
      <c r="I22" s="208">
        <v>0</v>
      </c>
      <c r="K22" s="210"/>
      <c r="O22" s="208"/>
    </row>
    <row r="23" spans="1:15" ht="12.75">
      <c r="A23" s="233"/>
      <c r="B23" s="223" t="s">
        <v>115</v>
      </c>
      <c r="C23" s="16"/>
      <c r="D23" s="16"/>
      <c r="E23" s="16"/>
      <c r="F23" s="16"/>
      <c r="G23" s="234">
        <f>I23/I16</f>
        <v>0.00036343470020675395</v>
      </c>
      <c r="H23" s="16" t="s">
        <v>113</v>
      </c>
      <c r="I23" s="208">
        <v>4050</v>
      </c>
      <c r="K23" s="210"/>
      <c r="O23" s="208"/>
    </row>
    <row r="24" spans="1:15" ht="12.75">
      <c r="A24" s="233"/>
      <c r="B24" s="223" t="s">
        <v>116</v>
      </c>
      <c r="C24" s="16"/>
      <c r="D24" s="16"/>
      <c r="E24" s="16"/>
      <c r="F24" s="16"/>
      <c r="G24" s="234">
        <f>I24/I16</f>
        <v>0.0005748549850677694</v>
      </c>
      <c r="H24" s="16" t="s">
        <v>113</v>
      </c>
      <c r="I24" s="208">
        <v>6406</v>
      </c>
      <c r="K24" s="210"/>
      <c r="O24" s="208"/>
    </row>
    <row r="25" spans="1:15" ht="12.75">
      <c r="A25" s="233"/>
      <c r="B25" s="223" t="s">
        <v>117</v>
      </c>
      <c r="C25" s="16"/>
      <c r="D25" s="16"/>
      <c r="E25" s="16"/>
      <c r="F25" s="16"/>
      <c r="G25" s="234">
        <f>I25/I16</f>
        <v>0.0006703351137146796</v>
      </c>
      <c r="H25" s="16" t="s">
        <v>113</v>
      </c>
      <c r="I25" s="208">
        <v>7470</v>
      </c>
      <c r="K25" s="210"/>
      <c r="O25" s="208"/>
    </row>
    <row r="26" spans="1:15" ht="12.75">
      <c r="A26" s="233"/>
      <c r="B26" s="223" t="s">
        <v>118</v>
      </c>
      <c r="C26" s="16"/>
      <c r="D26" s="16"/>
      <c r="E26" s="16"/>
      <c r="F26" s="16"/>
      <c r="G26" s="234">
        <f>I26/I16</f>
        <v>4.9355329657707325E-05</v>
      </c>
      <c r="H26" s="16" t="s">
        <v>113</v>
      </c>
      <c r="I26" s="208">
        <v>550</v>
      </c>
      <c r="K26" s="210"/>
      <c r="O26" s="208"/>
    </row>
    <row r="27" spans="1:15" ht="12.75">
      <c r="A27" s="233"/>
      <c r="B27" s="223" t="s">
        <v>119</v>
      </c>
      <c r="C27" s="16"/>
      <c r="D27" s="16"/>
      <c r="E27" s="16"/>
      <c r="F27" s="16"/>
      <c r="G27" s="234">
        <f>I27/I16</f>
        <v>8.0763266712612E-05</v>
      </c>
      <c r="H27" s="16" t="s">
        <v>113</v>
      </c>
      <c r="I27" s="208">
        <v>900</v>
      </c>
      <c r="K27" s="210"/>
      <c r="O27" s="208"/>
    </row>
    <row r="28" spans="1:15" ht="12.75">
      <c r="A28" s="233"/>
      <c r="B28" s="223" t="s">
        <v>251</v>
      </c>
      <c r="C28" s="16"/>
      <c r="D28" s="16"/>
      <c r="E28" s="16"/>
      <c r="F28" s="16"/>
      <c r="G28" s="234">
        <f>I28/I16</f>
        <v>0.0005132954284401562</v>
      </c>
      <c r="H28" s="16" t="s">
        <v>113</v>
      </c>
      <c r="I28" s="208">
        <v>5720</v>
      </c>
      <c r="K28" s="210"/>
      <c r="O28" s="208"/>
    </row>
    <row r="29" spans="1:15" ht="12.75">
      <c r="A29" s="233"/>
      <c r="B29" s="223" t="s">
        <v>120</v>
      </c>
      <c r="C29" s="16"/>
      <c r="D29" s="16"/>
      <c r="E29" s="16"/>
      <c r="F29" s="16"/>
      <c r="G29" s="234">
        <f>I29/I16</f>
        <v>0</v>
      </c>
      <c r="H29" s="16" t="s">
        <v>113</v>
      </c>
      <c r="K29" s="210"/>
      <c r="O29" s="208"/>
    </row>
    <row r="30" spans="1:15" ht="12.75">
      <c r="A30" s="233"/>
      <c r="B30" s="223"/>
      <c r="C30" s="16"/>
      <c r="D30" s="16"/>
      <c r="E30" s="16"/>
      <c r="F30" s="16" t="s">
        <v>121</v>
      </c>
      <c r="G30" s="234">
        <f>SUM(G21:G29)</f>
        <v>0.003091079427980703</v>
      </c>
      <c r="H30" s="16"/>
      <c r="K30" s="210"/>
      <c r="O30" s="208"/>
    </row>
    <row r="31" spans="1:15" ht="12.75">
      <c r="A31" s="230"/>
      <c r="B31" s="231" t="s">
        <v>110</v>
      </c>
      <c r="C31" s="16"/>
      <c r="D31" s="16"/>
      <c r="E31" s="16"/>
      <c r="F31" s="16"/>
      <c r="G31" s="16"/>
      <c r="H31" s="16"/>
      <c r="K31" s="232">
        <f>SUM(I21:I29)</f>
        <v>34446</v>
      </c>
      <c r="O31" s="208"/>
    </row>
    <row r="32" spans="1:15" ht="12.75">
      <c r="A32" s="215" t="s">
        <v>122</v>
      </c>
      <c r="B32" s="216"/>
      <c r="C32" s="235"/>
      <c r="D32" s="217"/>
      <c r="E32" s="217"/>
      <c r="F32" s="217"/>
      <c r="G32" s="217"/>
      <c r="H32" s="217"/>
      <c r="I32" s="218"/>
      <c r="J32" s="218"/>
      <c r="K32" s="219"/>
      <c r="O32" s="208"/>
    </row>
    <row r="33" spans="1:15" ht="12.75">
      <c r="A33" s="233"/>
      <c r="B33" s="223" t="s">
        <v>123</v>
      </c>
      <c r="C33" s="236"/>
      <c r="D33" s="192"/>
      <c r="E33" s="192"/>
      <c r="F33" s="192"/>
      <c r="G33" s="192"/>
      <c r="H33" s="192"/>
      <c r="I33" s="229">
        <v>475308</v>
      </c>
      <c r="K33" s="210"/>
      <c r="O33" s="208"/>
    </row>
    <row r="34" spans="1:15" ht="12.75">
      <c r="A34" s="233"/>
      <c r="B34" s="223" t="s">
        <v>124</v>
      </c>
      <c r="C34" s="16"/>
      <c r="D34" s="16"/>
      <c r="E34" s="16"/>
      <c r="F34" s="16"/>
      <c r="G34" s="16"/>
      <c r="H34" s="16"/>
      <c r="I34" s="208">
        <v>75000</v>
      </c>
      <c r="K34" s="210"/>
      <c r="O34" s="208"/>
    </row>
    <row r="35" spans="1:15" ht="12.75">
      <c r="A35" s="233"/>
      <c r="B35" s="223" t="s">
        <v>126</v>
      </c>
      <c r="C35" s="16"/>
      <c r="D35" s="16"/>
      <c r="E35" s="16"/>
      <c r="F35" s="16"/>
      <c r="G35" s="16"/>
      <c r="H35" s="16"/>
      <c r="I35" s="208">
        <v>0</v>
      </c>
      <c r="K35" s="210"/>
      <c r="O35" s="208"/>
    </row>
    <row r="36" spans="1:15" ht="12.75">
      <c r="A36" s="233"/>
      <c r="B36" s="223" t="s">
        <v>127</v>
      </c>
      <c r="C36" s="16"/>
      <c r="D36" s="16"/>
      <c r="E36" s="16"/>
      <c r="F36" s="16"/>
      <c r="G36" s="16"/>
      <c r="H36" s="16"/>
      <c r="I36" s="208">
        <v>0</v>
      </c>
      <c r="K36" s="210"/>
      <c r="O36" s="208"/>
    </row>
    <row r="37" spans="1:15" ht="12.75">
      <c r="A37" s="233"/>
      <c r="B37" s="223" t="s">
        <v>128</v>
      </c>
      <c r="C37" s="16"/>
      <c r="D37" s="16"/>
      <c r="E37" s="16"/>
      <c r="F37" s="16"/>
      <c r="G37" s="16" t="s">
        <v>125</v>
      </c>
      <c r="H37" s="16"/>
      <c r="I37" s="208">
        <v>0</v>
      </c>
      <c r="K37" s="210"/>
      <c r="O37" s="208">
        <f>K31+K40+I53</f>
        <v>584754</v>
      </c>
    </row>
    <row r="38" spans="1:15" ht="12.75">
      <c r="A38" s="233"/>
      <c r="B38" s="223" t="s">
        <v>129</v>
      </c>
      <c r="C38" s="16"/>
      <c r="D38" s="16"/>
      <c r="E38" s="16"/>
      <c r="F38" s="16"/>
      <c r="G38" s="16" t="s">
        <v>125</v>
      </c>
      <c r="H38" s="16"/>
      <c r="K38" s="210"/>
      <c r="O38" s="208"/>
    </row>
    <row r="39" spans="1:15" ht="12.75">
      <c r="A39" s="237" t="s">
        <v>130</v>
      </c>
      <c r="B39" s="223"/>
      <c r="C39" s="16"/>
      <c r="D39" s="16"/>
      <c r="E39" s="16"/>
      <c r="F39" s="16"/>
      <c r="G39" s="16"/>
      <c r="H39" s="16"/>
      <c r="K39" s="210"/>
      <c r="O39" s="208"/>
    </row>
    <row r="40" spans="1:15" ht="12.75">
      <c r="A40" s="233"/>
      <c r="B40" s="231" t="s">
        <v>110</v>
      </c>
      <c r="C40" s="16"/>
      <c r="D40" s="16"/>
      <c r="E40" s="16"/>
      <c r="F40" s="16"/>
      <c r="G40" s="16"/>
      <c r="H40" s="16"/>
      <c r="K40" s="232">
        <f>SUM(I33:I38)</f>
        <v>550308</v>
      </c>
      <c r="O40" s="208"/>
    </row>
    <row r="41" spans="1:15" ht="12.75">
      <c r="A41" s="215" t="s">
        <v>131</v>
      </c>
      <c r="B41" s="216"/>
      <c r="C41" s="235"/>
      <c r="D41" s="217"/>
      <c r="E41" s="217"/>
      <c r="F41" s="217"/>
      <c r="G41" s="217"/>
      <c r="H41" s="217"/>
      <c r="I41" s="218"/>
      <c r="J41" s="218"/>
      <c r="K41" s="219"/>
      <c r="O41" s="208"/>
    </row>
    <row r="42" spans="1:15" ht="12.75">
      <c r="A42" s="238"/>
      <c r="B42" s="221" t="s">
        <v>132</v>
      </c>
      <c r="C42" s="239">
        <v>0</v>
      </c>
      <c r="D42" s="192"/>
      <c r="E42" s="192"/>
      <c r="F42" s="192"/>
      <c r="G42" s="192"/>
      <c r="H42" s="192"/>
      <c r="I42" s="229">
        <f>I16*C42</f>
        <v>0</v>
      </c>
      <c r="K42" s="210"/>
      <c r="O42" s="208"/>
    </row>
    <row r="43" spans="1:15" ht="12.75">
      <c r="A43" s="233"/>
      <c r="B43" s="221" t="s">
        <v>133</v>
      </c>
      <c r="C43" s="236">
        <f>K49/'Proforma 2'!I25</f>
        <v>0.08635898318029263</v>
      </c>
      <c r="D43" s="192"/>
      <c r="E43" s="192"/>
      <c r="F43" s="192"/>
      <c r="G43" s="192"/>
      <c r="H43" s="192"/>
      <c r="I43" s="229">
        <f>C43*'Proforma 2'!I25</f>
        <v>1820000</v>
      </c>
      <c r="K43" s="210"/>
      <c r="O43" s="208"/>
    </row>
    <row r="44" spans="1:15" ht="12.75">
      <c r="A44" s="233"/>
      <c r="B44" s="223" t="s">
        <v>134</v>
      </c>
      <c r="C44" s="16"/>
      <c r="D44" s="16"/>
      <c r="E44" s="16"/>
      <c r="F44" s="16"/>
      <c r="G44" s="16" t="s">
        <v>125</v>
      </c>
      <c r="H44" s="16"/>
      <c r="K44" s="210"/>
      <c r="O44" s="208"/>
    </row>
    <row r="45" spans="1:15" ht="12.75">
      <c r="A45" s="233"/>
      <c r="B45" s="223" t="s">
        <v>135</v>
      </c>
      <c r="C45" s="16"/>
      <c r="D45" s="16"/>
      <c r="E45" s="16"/>
      <c r="F45" s="16"/>
      <c r="G45" s="16" t="s">
        <v>125</v>
      </c>
      <c r="H45" s="16"/>
      <c r="K45" s="210"/>
      <c r="O45" s="208"/>
    </row>
    <row r="46" spans="1:15" ht="12.75">
      <c r="A46" s="233"/>
      <c r="B46" s="223" t="s">
        <v>136</v>
      </c>
      <c r="C46" s="16"/>
      <c r="D46" s="16"/>
      <c r="E46" s="16"/>
      <c r="F46" s="16"/>
      <c r="G46" s="16" t="s">
        <v>125</v>
      </c>
      <c r="H46" s="16"/>
      <c r="K46" s="210"/>
      <c r="O46" s="208"/>
    </row>
    <row r="47" spans="1:15" ht="12.75">
      <c r="A47" s="233"/>
      <c r="B47" s="223" t="s">
        <v>137</v>
      </c>
      <c r="C47" s="16"/>
      <c r="D47" s="16"/>
      <c r="E47" s="16"/>
      <c r="F47" s="16"/>
      <c r="G47" s="16" t="s">
        <v>138</v>
      </c>
      <c r="H47" s="16"/>
      <c r="K47" s="210"/>
      <c r="O47" s="208"/>
    </row>
    <row r="48" spans="1:15" ht="12.75">
      <c r="A48" s="233"/>
      <c r="B48" s="223"/>
      <c r="C48" s="16"/>
      <c r="D48" s="16"/>
      <c r="E48" s="16"/>
      <c r="F48" s="16"/>
      <c r="G48" s="16"/>
      <c r="H48" s="16"/>
      <c r="K48" s="210"/>
      <c r="O48" s="208"/>
    </row>
    <row r="49" spans="1:15" ht="12.75">
      <c r="A49" s="240"/>
      <c r="B49" s="241" t="s">
        <v>110</v>
      </c>
      <c r="C49" s="16"/>
      <c r="D49" s="16"/>
      <c r="E49" s="16"/>
      <c r="F49" s="16"/>
      <c r="G49" s="16"/>
      <c r="H49" s="16"/>
      <c r="K49" s="232">
        <v>1820000</v>
      </c>
      <c r="O49" s="208"/>
    </row>
    <row r="50" spans="2:15" ht="12.75">
      <c r="B50" s="242"/>
      <c r="C50" s="194"/>
      <c r="D50" s="194"/>
      <c r="E50" s="194"/>
      <c r="F50" s="194"/>
      <c r="G50" s="194"/>
      <c r="H50" s="194"/>
      <c r="I50" s="243"/>
      <c r="J50" s="243"/>
      <c r="K50" s="244"/>
      <c r="O50" s="208"/>
    </row>
    <row r="51" spans="1:15" ht="12.75">
      <c r="A51" s="245"/>
      <c r="B51" s="246"/>
      <c r="C51" s="247"/>
      <c r="D51" s="247"/>
      <c r="E51" s="247"/>
      <c r="F51" s="247"/>
      <c r="G51" s="247"/>
      <c r="H51" s="247"/>
      <c r="I51" s="248"/>
      <c r="J51" s="248"/>
      <c r="K51" s="249"/>
      <c r="O51" s="208"/>
    </row>
    <row r="52" spans="1:15" ht="12.75">
      <c r="A52" s="215" t="s">
        <v>139</v>
      </c>
      <c r="B52" s="216"/>
      <c r="C52" s="217"/>
      <c r="D52" s="217"/>
      <c r="E52" s="217"/>
      <c r="F52" s="217"/>
      <c r="G52" s="217"/>
      <c r="H52" s="217"/>
      <c r="I52" s="218"/>
      <c r="J52" s="218"/>
      <c r="K52" s="250"/>
      <c r="O52" s="208"/>
    </row>
    <row r="53" spans="1:15" ht="12.75">
      <c r="A53" s="233"/>
      <c r="B53" s="223" t="s">
        <v>140</v>
      </c>
      <c r="C53" s="106">
        <v>0.015</v>
      </c>
      <c r="D53" s="106" t="s">
        <v>141</v>
      </c>
      <c r="E53" s="16"/>
      <c r="F53" s="16"/>
      <c r="G53" s="16"/>
      <c r="H53" s="16"/>
      <c r="K53" s="210"/>
      <c r="O53" s="208"/>
    </row>
    <row r="54" spans="1:15" ht="12.75">
      <c r="A54" s="233"/>
      <c r="B54" s="223" t="s">
        <v>142</v>
      </c>
      <c r="C54" s="251">
        <v>0</v>
      </c>
      <c r="D54" s="106" t="s">
        <v>141</v>
      </c>
      <c r="E54" s="16"/>
      <c r="F54" s="16"/>
      <c r="G54" s="16"/>
      <c r="H54" s="16"/>
      <c r="K54" s="210"/>
      <c r="O54" s="208"/>
    </row>
    <row r="55" spans="1:15" ht="12.75">
      <c r="A55" s="233"/>
      <c r="B55" s="223" t="s">
        <v>143</v>
      </c>
      <c r="C55" s="16"/>
      <c r="D55" s="16"/>
      <c r="E55" s="16"/>
      <c r="F55" s="16"/>
      <c r="G55" s="16"/>
      <c r="H55" s="16"/>
      <c r="K55" s="210"/>
      <c r="L55" t="s">
        <v>259</v>
      </c>
      <c r="O55" s="208"/>
    </row>
    <row r="56" spans="1:15" ht="12.75">
      <c r="A56" s="233"/>
      <c r="B56" s="223" t="s">
        <v>144</v>
      </c>
      <c r="C56" s="252"/>
      <c r="D56" s="16" t="s">
        <v>145</v>
      </c>
      <c r="E56" s="16"/>
      <c r="F56" s="16">
        <v>1</v>
      </c>
      <c r="G56" s="16" t="s">
        <v>146</v>
      </c>
      <c r="H56" s="16"/>
      <c r="K56" s="210"/>
      <c r="O56" s="208"/>
    </row>
    <row r="57" spans="1:15" ht="12.75">
      <c r="A57" s="233"/>
      <c r="B57" s="223"/>
      <c r="C57" s="252">
        <v>20000</v>
      </c>
      <c r="D57" s="16" t="s">
        <v>147</v>
      </c>
      <c r="E57" s="16"/>
      <c r="F57" s="16">
        <v>4</v>
      </c>
      <c r="G57" s="16" t="s">
        <v>146</v>
      </c>
      <c r="H57" s="16"/>
      <c r="K57" s="210"/>
      <c r="O57" s="208"/>
    </row>
    <row r="58" spans="1:15" ht="12.75">
      <c r="A58" s="209"/>
      <c r="B58" s="16" t="s">
        <v>148</v>
      </c>
      <c r="C58" s="252">
        <v>500</v>
      </c>
      <c r="D58" s="16" t="s">
        <v>149</v>
      </c>
      <c r="E58" s="16"/>
      <c r="F58" s="16">
        <v>0</v>
      </c>
      <c r="G58" s="16" t="s">
        <v>146</v>
      </c>
      <c r="H58" s="16"/>
      <c r="K58" s="210"/>
      <c r="O58" s="208"/>
    </row>
    <row r="59" spans="1:15" ht="12.75">
      <c r="A59" s="209"/>
      <c r="B59" s="16"/>
      <c r="C59" s="252">
        <v>500</v>
      </c>
      <c r="D59" s="16" t="s">
        <v>150</v>
      </c>
      <c r="E59" s="16"/>
      <c r="F59" s="16">
        <v>9</v>
      </c>
      <c r="G59" s="16" t="s">
        <v>151</v>
      </c>
      <c r="H59" s="16"/>
      <c r="K59" s="210"/>
      <c r="O59" s="208"/>
    </row>
    <row r="60" spans="1:15" ht="12.75">
      <c r="A60" s="233"/>
      <c r="B60" s="221" t="s">
        <v>152</v>
      </c>
      <c r="C60" s="252">
        <v>500</v>
      </c>
      <c r="D60" s="16" t="s">
        <v>149</v>
      </c>
      <c r="E60" s="16"/>
      <c r="F60" s="16">
        <v>0</v>
      </c>
      <c r="G60" s="16" t="s">
        <v>146</v>
      </c>
      <c r="H60" s="16"/>
      <c r="K60" s="210"/>
      <c r="O60" s="208"/>
    </row>
    <row r="61" spans="1:15" ht="12.75">
      <c r="A61" s="233"/>
      <c r="B61" s="221"/>
      <c r="C61" s="252">
        <v>3999</v>
      </c>
      <c r="D61" s="16" t="s">
        <v>150</v>
      </c>
      <c r="E61" s="16"/>
      <c r="F61" s="16">
        <f>2*'Proforma 2'!E7</f>
        <v>12</v>
      </c>
      <c r="G61" s="16" t="s">
        <v>151</v>
      </c>
      <c r="H61" s="16"/>
      <c r="K61" s="210"/>
      <c r="O61" s="208"/>
    </row>
    <row r="62" spans="1:15" ht="12.75">
      <c r="A62" s="233"/>
      <c r="B62" s="221" t="s">
        <v>153</v>
      </c>
      <c r="C62" s="252">
        <v>3068</v>
      </c>
      <c r="D62" s="16" t="s">
        <v>149</v>
      </c>
      <c r="E62" s="16"/>
      <c r="F62" s="16">
        <v>0</v>
      </c>
      <c r="G62" s="16" t="s">
        <v>146</v>
      </c>
      <c r="H62" s="16"/>
      <c r="K62" s="210"/>
      <c r="O62" s="208"/>
    </row>
    <row r="63" spans="1:15" ht="12.75">
      <c r="A63" s="233"/>
      <c r="B63" s="221"/>
      <c r="C63" s="252">
        <v>2500</v>
      </c>
      <c r="D63" s="16" t="s">
        <v>150</v>
      </c>
      <c r="E63" s="16"/>
      <c r="F63" s="16">
        <f>F61</f>
        <v>12</v>
      </c>
      <c r="G63" s="16" t="s">
        <v>151</v>
      </c>
      <c r="H63" s="16"/>
      <c r="K63" s="210"/>
      <c r="O63" s="208"/>
    </row>
    <row r="64" spans="1:15" ht="12.75">
      <c r="A64" s="253" t="s">
        <v>154</v>
      </c>
      <c r="B64" s="221" t="s">
        <v>155</v>
      </c>
      <c r="C64" s="252">
        <f>17.81-2.08</f>
        <v>15.729999999999999</v>
      </c>
      <c r="D64" s="16" t="s">
        <v>156</v>
      </c>
      <c r="E64" s="16"/>
      <c r="F64" s="16">
        <v>1</v>
      </c>
      <c r="G64" s="16" t="s">
        <v>146</v>
      </c>
      <c r="H64" s="16"/>
      <c r="I64" s="208">
        <v>258439</v>
      </c>
      <c r="K64" s="210"/>
      <c r="L64" s="97"/>
      <c r="O64" s="208"/>
    </row>
    <row r="65" spans="1:15" ht="12.75">
      <c r="A65" s="254"/>
      <c r="B65" s="221"/>
      <c r="C65" s="252" t="s">
        <v>157</v>
      </c>
      <c r="D65" s="16"/>
      <c r="E65" s="16"/>
      <c r="F65" s="16"/>
      <c r="G65" s="16"/>
      <c r="K65" s="210"/>
      <c r="O65" s="208"/>
    </row>
    <row r="66" spans="1:15" ht="12.75">
      <c r="A66" s="255" t="s">
        <v>158</v>
      </c>
      <c r="B66" s="223" t="s">
        <v>159</v>
      </c>
      <c r="C66" s="252">
        <v>5200</v>
      </c>
      <c r="D66" s="16" t="s">
        <v>160</v>
      </c>
      <c r="E66" s="16"/>
      <c r="F66" s="16">
        <f>F64</f>
        <v>1</v>
      </c>
      <c r="G66" s="16" t="s">
        <v>146</v>
      </c>
      <c r="H66" s="16"/>
      <c r="K66" s="210"/>
      <c r="O66" s="208"/>
    </row>
    <row r="67" spans="2:15" ht="12.75">
      <c r="B67" s="223" t="s">
        <v>161</v>
      </c>
      <c r="C67" s="252">
        <v>0</v>
      </c>
      <c r="D67" s="5" t="s">
        <v>162</v>
      </c>
      <c r="E67" s="16"/>
      <c r="F67" s="16"/>
      <c r="G67" s="16"/>
      <c r="H67" s="16"/>
      <c r="K67" s="210"/>
      <c r="O67" s="208"/>
    </row>
    <row r="68" spans="1:15" ht="12.75">
      <c r="A68" s="233"/>
      <c r="B68" s="223" t="s">
        <v>163</v>
      </c>
      <c r="C68" s="252">
        <v>0</v>
      </c>
      <c r="D68" s="16" t="s">
        <v>149</v>
      </c>
      <c r="E68" s="16"/>
      <c r="F68" s="16">
        <f>'Proforma 2'!B25</f>
        <v>0</v>
      </c>
      <c r="G68" s="16" t="s">
        <v>146</v>
      </c>
      <c r="H68" s="16"/>
      <c r="K68" s="210"/>
      <c r="O68" s="208"/>
    </row>
    <row r="69" spans="1:15" ht="12.75">
      <c r="A69" s="233"/>
      <c r="B69" s="223"/>
      <c r="C69" s="16"/>
      <c r="D69" s="16"/>
      <c r="E69" s="16"/>
      <c r="F69" s="16"/>
      <c r="G69" s="16"/>
      <c r="H69" s="16"/>
      <c r="K69" s="210"/>
      <c r="O69" s="208"/>
    </row>
    <row r="70" spans="1:15" ht="12.75">
      <c r="A70" s="240"/>
      <c r="B70" s="231" t="s">
        <v>110</v>
      </c>
      <c r="C70" s="16"/>
      <c r="D70" s="16"/>
      <c r="E70" s="16"/>
      <c r="F70" s="16"/>
      <c r="G70" s="16"/>
      <c r="H70" s="16"/>
      <c r="K70" s="232">
        <f>577070+66435</f>
        <v>643505</v>
      </c>
      <c r="O70" s="208"/>
    </row>
    <row r="71" spans="1:15" ht="12.75">
      <c r="A71" s="215" t="s">
        <v>164</v>
      </c>
      <c r="B71" s="216"/>
      <c r="C71" s="217"/>
      <c r="D71" s="217"/>
      <c r="E71" s="217"/>
      <c r="F71" s="217"/>
      <c r="G71" s="217"/>
      <c r="H71" s="217"/>
      <c r="I71" s="218"/>
      <c r="J71" s="218"/>
      <c r="K71" s="219"/>
      <c r="O71" s="208"/>
    </row>
    <row r="72" spans="1:15" ht="12.75">
      <c r="A72" s="233"/>
      <c r="B72" s="223" t="s">
        <v>165</v>
      </c>
      <c r="C72" s="16"/>
      <c r="D72" s="16"/>
      <c r="E72" s="16"/>
      <c r="F72" s="16"/>
      <c r="G72" s="16" t="s">
        <v>138</v>
      </c>
      <c r="H72" s="16"/>
      <c r="I72" s="208">
        <v>20000</v>
      </c>
      <c r="K72" s="210"/>
      <c r="O72" s="208"/>
    </row>
    <row r="73" spans="1:15" ht="12.75">
      <c r="A73" s="233"/>
      <c r="B73" s="223" t="s">
        <v>252</v>
      </c>
      <c r="C73" s="16"/>
      <c r="D73" s="16"/>
      <c r="E73" s="16"/>
      <c r="F73" s="16"/>
      <c r="G73" s="16" t="s">
        <v>138</v>
      </c>
      <c r="H73" s="16"/>
      <c r="I73" s="208">
        <f>120000+5000+5000+4500+15000+8000</f>
        <v>157500</v>
      </c>
      <c r="K73" s="210"/>
      <c r="L73" t="s">
        <v>256</v>
      </c>
      <c r="O73" s="208"/>
    </row>
    <row r="74" spans="1:15" ht="12.75">
      <c r="A74" s="233"/>
      <c r="B74" s="223" t="s">
        <v>166</v>
      </c>
      <c r="C74" s="16"/>
      <c r="D74" s="16"/>
      <c r="E74" s="16"/>
      <c r="F74" s="16"/>
      <c r="G74" s="16"/>
      <c r="H74" s="16"/>
      <c r="I74" s="208">
        <v>18500</v>
      </c>
      <c r="K74" s="210"/>
      <c r="O74" s="208"/>
    </row>
    <row r="75" spans="1:15" ht="12.75">
      <c r="A75" s="233"/>
      <c r="B75" s="223" t="s">
        <v>167</v>
      </c>
      <c r="C75" s="16"/>
      <c r="D75" s="16"/>
      <c r="E75" s="16"/>
      <c r="F75" s="16"/>
      <c r="G75" s="16"/>
      <c r="H75" s="16"/>
      <c r="I75" s="208">
        <v>2000</v>
      </c>
      <c r="K75" s="210"/>
      <c r="O75" s="208"/>
    </row>
    <row r="76" spans="1:15" ht="12.75">
      <c r="A76" s="233"/>
      <c r="B76" s="223" t="s">
        <v>168</v>
      </c>
      <c r="C76" s="16"/>
      <c r="D76" s="16"/>
      <c r="E76" s="16"/>
      <c r="F76" s="16"/>
      <c r="G76" s="5" t="s">
        <v>169</v>
      </c>
      <c r="H76" s="16"/>
      <c r="I76" s="208">
        <v>0</v>
      </c>
      <c r="K76" s="210"/>
      <c r="O76" s="208"/>
    </row>
    <row r="77" spans="1:15" ht="12.75">
      <c r="A77" s="240"/>
      <c r="B77" s="231" t="s">
        <v>110</v>
      </c>
      <c r="C77" s="16"/>
      <c r="D77" s="16"/>
      <c r="E77" s="16"/>
      <c r="F77" s="16"/>
      <c r="G77" s="16"/>
      <c r="H77" s="16"/>
      <c r="K77" s="232">
        <f>SUM(I72:I76)</f>
        <v>198000</v>
      </c>
      <c r="O77" s="208"/>
    </row>
    <row r="78" spans="1:15" ht="12.75">
      <c r="A78" s="215" t="s">
        <v>170</v>
      </c>
      <c r="B78" s="256"/>
      <c r="C78" s="217"/>
      <c r="D78" s="217"/>
      <c r="E78" s="217"/>
      <c r="F78" s="217"/>
      <c r="G78" s="217"/>
      <c r="H78" s="217"/>
      <c r="I78" s="218"/>
      <c r="J78" s="218"/>
      <c r="K78" s="219"/>
      <c r="O78" s="208"/>
    </row>
    <row r="79" spans="1:15" ht="12.75">
      <c r="A79" s="230"/>
      <c r="B79" s="223" t="s">
        <v>171</v>
      </c>
      <c r="C79" s="234">
        <v>0.01</v>
      </c>
      <c r="D79" s="16" t="s">
        <v>172</v>
      </c>
      <c r="E79" s="16"/>
      <c r="F79" s="16"/>
      <c r="G79" s="16"/>
      <c r="H79" s="16"/>
      <c r="I79" s="208">
        <f>C79*'Proforma 2'!H30</f>
        <v>126448.91820000003</v>
      </c>
      <c r="K79" s="210"/>
      <c r="O79" s="208"/>
    </row>
    <row r="80" spans="1:15" ht="12.75">
      <c r="A80" s="230"/>
      <c r="B80" s="223" t="s">
        <v>224</v>
      </c>
      <c r="C80" s="342">
        <v>0.01</v>
      </c>
      <c r="D80" s="16" t="s">
        <v>225</v>
      </c>
      <c r="E80" s="16"/>
      <c r="F80" s="16"/>
      <c r="G80" s="16"/>
      <c r="H80" s="16"/>
      <c r="K80" s="210"/>
      <c r="O80" s="208"/>
    </row>
    <row r="81" spans="1:15" ht="12.75">
      <c r="A81" s="230"/>
      <c r="B81" s="223" t="s">
        <v>173</v>
      </c>
      <c r="C81" s="16"/>
      <c r="D81" s="16"/>
      <c r="E81" s="16"/>
      <c r="F81" s="16"/>
      <c r="G81" s="16"/>
      <c r="H81" s="16"/>
      <c r="I81" s="208">
        <f>'Proforma 2'!I15+'Proforma 2'!I16+'Proforma 2'!I17</f>
        <v>861407.9023500001</v>
      </c>
      <c r="K81" s="210"/>
      <c r="O81" s="208"/>
    </row>
    <row r="82" spans="1:15" ht="12.75">
      <c r="A82" s="230"/>
      <c r="B82" s="223" t="s">
        <v>174</v>
      </c>
      <c r="C82" s="16"/>
      <c r="D82" s="16"/>
      <c r="E82" s="16"/>
      <c r="F82" s="16"/>
      <c r="G82" s="16" t="s">
        <v>125</v>
      </c>
      <c r="H82" s="16"/>
      <c r="K82" s="210"/>
      <c r="O82" s="208"/>
    </row>
    <row r="83" spans="1:15" ht="12.75">
      <c r="A83" s="230"/>
      <c r="B83" s="223" t="s">
        <v>239</v>
      </c>
      <c r="C83" s="16"/>
      <c r="D83" s="16"/>
      <c r="E83" s="16"/>
      <c r="F83" s="16"/>
      <c r="G83" s="16" t="s">
        <v>240</v>
      </c>
      <c r="H83" s="16"/>
      <c r="I83" s="208">
        <v>50000</v>
      </c>
      <c r="K83" s="210"/>
      <c r="O83" s="208"/>
    </row>
    <row r="84" spans="1:15" ht="12.75">
      <c r="A84" s="230"/>
      <c r="B84" s="223" t="s">
        <v>254</v>
      </c>
      <c r="C84" s="16"/>
      <c r="D84" s="16"/>
      <c r="E84" s="16"/>
      <c r="F84" s="16"/>
      <c r="G84" s="16"/>
      <c r="H84" s="16"/>
      <c r="I84" s="208">
        <v>13600</v>
      </c>
      <c r="K84" s="210"/>
      <c r="O84" s="208"/>
    </row>
    <row r="85" spans="1:15" ht="12.75">
      <c r="A85" s="230"/>
      <c r="B85" s="221" t="s">
        <v>232</v>
      </c>
      <c r="C85" s="342">
        <v>0.14</v>
      </c>
      <c r="D85" s="16"/>
      <c r="E85" s="16"/>
      <c r="F85" s="16"/>
      <c r="G85" s="16"/>
      <c r="H85" s="16"/>
      <c r="I85" s="208">
        <v>271370</v>
      </c>
      <c r="K85" s="210"/>
      <c r="O85" s="208"/>
    </row>
    <row r="86" spans="1:15" ht="12.75">
      <c r="A86" s="257" t="s">
        <v>175</v>
      </c>
      <c r="B86" s="223" t="s">
        <v>176</v>
      </c>
      <c r="C86" s="16"/>
      <c r="D86" s="16"/>
      <c r="E86" s="16"/>
      <c r="F86" s="16"/>
      <c r="G86" s="16"/>
      <c r="H86" s="16"/>
      <c r="I86" s="208">
        <f>10000*2</f>
        <v>20000</v>
      </c>
      <c r="K86" s="210"/>
      <c r="O86" s="208"/>
    </row>
    <row r="87" spans="1:15" ht="12.75">
      <c r="A87" s="230"/>
      <c r="B87" s="223" t="s">
        <v>18</v>
      </c>
      <c r="C87" s="16" t="s">
        <v>253</v>
      </c>
      <c r="D87" s="16"/>
      <c r="E87" s="16"/>
      <c r="F87" s="16"/>
      <c r="G87" s="16"/>
      <c r="H87" s="16"/>
      <c r="I87" s="208">
        <f>'Proforma 2'!I14</f>
        <v>300000</v>
      </c>
      <c r="K87" s="210"/>
      <c r="O87" s="208"/>
    </row>
    <row r="88" spans="1:15" ht="12.75">
      <c r="A88" s="230"/>
      <c r="B88" s="231" t="s">
        <v>110</v>
      </c>
      <c r="C88" s="16"/>
      <c r="D88" s="16"/>
      <c r="E88" s="16"/>
      <c r="F88" s="16"/>
      <c r="G88" s="16"/>
      <c r="H88" s="16"/>
      <c r="K88" s="232">
        <f>SUM(I79:I87)</f>
        <v>1642826.8205500003</v>
      </c>
      <c r="O88" s="208"/>
    </row>
    <row r="89" spans="1:15" ht="12.75">
      <c r="A89" s="215" t="s">
        <v>177</v>
      </c>
      <c r="B89" s="216"/>
      <c r="C89" s="217"/>
      <c r="D89" s="217"/>
      <c r="E89" s="217"/>
      <c r="F89" s="217"/>
      <c r="G89" s="217"/>
      <c r="H89" s="217"/>
      <c r="I89" s="218"/>
      <c r="J89" s="218"/>
      <c r="K89" s="219"/>
      <c r="O89" s="208"/>
    </row>
    <row r="90" spans="1:15" ht="12.75">
      <c r="A90" s="233"/>
      <c r="B90" s="223" t="s">
        <v>178</v>
      </c>
      <c r="C90" s="234">
        <v>0</v>
      </c>
      <c r="D90" s="16"/>
      <c r="E90" s="16"/>
      <c r="F90" s="16"/>
      <c r="G90" s="16"/>
      <c r="H90" s="16"/>
      <c r="I90" s="208">
        <f>C90*'Proforma 2'!H30</f>
        <v>0</v>
      </c>
      <c r="K90" s="210"/>
      <c r="O90" s="208"/>
    </row>
    <row r="91" spans="1:15" ht="12.75">
      <c r="A91" s="233"/>
      <c r="B91" s="223" t="s">
        <v>179</v>
      </c>
      <c r="C91" s="16"/>
      <c r="D91" s="16"/>
      <c r="E91" s="16"/>
      <c r="F91" s="16"/>
      <c r="G91" s="16"/>
      <c r="H91" s="16"/>
      <c r="K91" s="210"/>
      <c r="O91" s="208"/>
    </row>
    <row r="92" spans="1:15" ht="12.75">
      <c r="A92" s="233"/>
      <c r="B92" s="223" t="s">
        <v>180</v>
      </c>
      <c r="C92" s="16"/>
      <c r="D92" s="16"/>
      <c r="E92" s="16"/>
      <c r="F92" s="16"/>
      <c r="G92" s="16"/>
      <c r="H92" s="16"/>
      <c r="K92" s="210"/>
      <c r="O92" s="208"/>
    </row>
    <row r="93" spans="1:15" ht="12.75">
      <c r="A93" s="233"/>
      <c r="B93" s="223"/>
      <c r="C93" s="16"/>
      <c r="D93" s="16"/>
      <c r="E93" s="16"/>
      <c r="F93" s="16"/>
      <c r="G93" s="16"/>
      <c r="H93" s="16"/>
      <c r="K93" s="210"/>
      <c r="O93" s="208"/>
    </row>
    <row r="94" spans="1:15" ht="12.75">
      <c r="A94" s="258"/>
      <c r="B94" s="259" t="s">
        <v>110</v>
      </c>
      <c r="C94" s="194"/>
      <c r="D94" s="194"/>
      <c r="E94" s="194"/>
      <c r="F94" s="194"/>
      <c r="G94" s="194"/>
      <c r="H94" s="194"/>
      <c r="I94" s="243"/>
      <c r="J94" s="243"/>
      <c r="K94" s="232">
        <f>SUM(I90:I93)</f>
        <v>0</v>
      </c>
      <c r="O94" s="208"/>
    </row>
    <row r="95" spans="1:15" ht="12.75">
      <c r="A95" s="260" t="s">
        <v>181</v>
      </c>
      <c r="B95" s="261"/>
      <c r="C95" s="262"/>
      <c r="D95" s="262"/>
      <c r="E95" s="262"/>
      <c r="F95" s="262"/>
      <c r="G95" s="262"/>
      <c r="H95" s="262"/>
      <c r="I95" s="263"/>
      <c r="J95" s="263"/>
      <c r="K95" s="264"/>
      <c r="O95" s="208"/>
    </row>
    <row r="96" spans="1:15" ht="12.75">
      <c r="A96" s="233"/>
      <c r="B96" s="223" t="s">
        <v>182</v>
      </c>
      <c r="C96" s="16"/>
      <c r="D96" s="16"/>
      <c r="E96" s="16"/>
      <c r="F96" s="16"/>
      <c r="G96" s="16"/>
      <c r="H96" s="16"/>
      <c r="I96" s="208">
        <v>0</v>
      </c>
      <c r="K96" s="210"/>
      <c r="O96" s="208"/>
    </row>
    <row r="97" spans="1:15" ht="12.75">
      <c r="A97" s="233"/>
      <c r="B97" s="223" t="s">
        <v>183</v>
      </c>
      <c r="C97" s="16"/>
      <c r="D97" s="16"/>
      <c r="E97" s="16"/>
      <c r="F97" s="16"/>
      <c r="G97" s="16"/>
      <c r="H97" s="16"/>
      <c r="I97" s="208">
        <v>0</v>
      </c>
      <c r="K97" s="210"/>
      <c r="O97" s="208"/>
    </row>
    <row r="98" spans="1:15" ht="12.75">
      <c r="A98" s="233"/>
      <c r="B98" s="223" t="s">
        <v>184</v>
      </c>
      <c r="C98" s="16"/>
      <c r="D98" s="16"/>
      <c r="E98" s="16"/>
      <c r="F98" s="16"/>
      <c r="G98" s="16"/>
      <c r="H98" s="16"/>
      <c r="I98" s="208">
        <v>0</v>
      </c>
      <c r="K98" s="210"/>
      <c r="O98" s="208"/>
    </row>
    <row r="99" spans="1:15" ht="12.75">
      <c r="A99" s="233"/>
      <c r="B99" s="223" t="s">
        <v>185</v>
      </c>
      <c r="C99" s="16"/>
      <c r="D99" s="16"/>
      <c r="E99" s="16"/>
      <c r="F99" s="16"/>
      <c r="G99" s="16"/>
      <c r="H99" s="16"/>
      <c r="I99" s="208">
        <v>0</v>
      </c>
      <c r="K99" s="210"/>
      <c r="O99" s="208"/>
    </row>
    <row r="100" spans="1:15" ht="12.75">
      <c r="A100" s="233"/>
      <c r="B100" s="223" t="s">
        <v>186</v>
      </c>
      <c r="C100" s="16"/>
      <c r="D100" s="16"/>
      <c r="E100" s="16"/>
      <c r="F100" s="16"/>
      <c r="G100" s="16"/>
      <c r="H100" s="16"/>
      <c r="I100" s="208">
        <v>0</v>
      </c>
      <c r="K100" s="210"/>
      <c r="O100" s="208"/>
    </row>
    <row r="101" spans="1:15" ht="12.75">
      <c r="A101" s="233"/>
      <c r="B101" s="223" t="s">
        <v>187</v>
      </c>
      <c r="C101" s="16"/>
      <c r="D101" s="16"/>
      <c r="E101" s="16"/>
      <c r="F101" s="16"/>
      <c r="G101" s="16"/>
      <c r="H101" s="106">
        <v>0.075</v>
      </c>
      <c r="I101" s="208">
        <f>H101*(5*('Proforma 2'!E51+'Proforma 2'!E52+'Proforma 2'!E53+'Proforma 2'!E56))*0.8</f>
        <v>406468.80000000005</v>
      </c>
      <c r="K101" s="210"/>
      <c r="O101" s="208"/>
    </row>
    <row r="102" spans="1:15" ht="12.75">
      <c r="A102" s="233"/>
      <c r="B102" s="223" t="s">
        <v>188</v>
      </c>
      <c r="C102" s="16"/>
      <c r="D102" s="16"/>
      <c r="E102" s="16"/>
      <c r="F102" s="16"/>
      <c r="G102" s="16"/>
      <c r="H102" s="16"/>
      <c r="K102" s="210"/>
      <c r="O102" s="208"/>
    </row>
    <row r="103" spans="1:15" ht="12.75">
      <c r="A103" s="233"/>
      <c r="B103" s="223"/>
      <c r="C103" s="16"/>
      <c r="D103" s="16"/>
      <c r="E103" s="16"/>
      <c r="F103" s="16"/>
      <c r="G103" s="16"/>
      <c r="H103" s="16"/>
      <c r="K103" s="210"/>
      <c r="O103" s="208"/>
    </row>
    <row r="104" spans="1:11" ht="12.75">
      <c r="A104" s="265"/>
      <c r="B104" s="259" t="s">
        <v>110</v>
      </c>
      <c r="C104" s="194"/>
      <c r="D104" s="194"/>
      <c r="E104" s="194"/>
      <c r="F104" s="194"/>
      <c r="G104" s="194"/>
      <c r="H104" s="194"/>
      <c r="I104" s="243"/>
      <c r="J104" s="243"/>
      <c r="K104" s="232">
        <f>SUM(I96:I102)</f>
        <v>406468.80000000005</v>
      </c>
    </row>
    <row r="105" spans="1:11" ht="12.75">
      <c r="A105" s="209"/>
      <c r="B105" s="16"/>
      <c r="C105" s="16"/>
      <c r="D105" s="16"/>
      <c r="E105" s="16"/>
      <c r="F105" s="16"/>
      <c r="G105" s="16"/>
      <c r="H105" s="16"/>
      <c r="K105" s="210"/>
    </row>
    <row r="106" spans="1:11" ht="12.75">
      <c r="A106" s="266" t="s">
        <v>189</v>
      </c>
      <c r="B106" s="267"/>
      <c r="C106" s="217"/>
      <c r="D106" s="217"/>
      <c r="E106" s="217"/>
      <c r="F106" s="217"/>
      <c r="G106" s="217"/>
      <c r="H106" s="217"/>
      <c r="I106" s="218">
        <f>K106/(K4+K19)</f>
        <v>0.42030946621526166</v>
      </c>
      <c r="J106" s="218"/>
      <c r="K106" s="268">
        <f>SUM(K31:K104)</f>
        <v>5295554.62055</v>
      </c>
    </row>
    <row r="107" spans="1:11" ht="12.75">
      <c r="A107" s="209"/>
      <c r="B107" s="16"/>
      <c r="C107" s="16"/>
      <c r="D107" s="16"/>
      <c r="E107" s="16"/>
      <c r="F107" s="16"/>
      <c r="G107" s="16"/>
      <c r="H107" s="16"/>
      <c r="K107" s="210"/>
    </row>
    <row r="108" spans="1:11" ht="12.75">
      <c r="A108" s="209"/>
      <c r="B108" s="16"/>
      <c r="C108" s="16"/>
      <c r="D108" s="16"/>
      <c r="E108" s="16"/>
      <c r="F108" s="16"/>
      <c r="G108" s="16"/>
      <c r="H108" s="16"/>
      <c r="K108" s="210"/>
    </row>
    <row r="109" spans="1:11" ht="13.5">
      <c r="A109" s="269" t="s">
        <v>42</v>
      </c>
      <c r="B109" s="270"/>
      <c r="C109" s="271"/>
      <c r="D109" s="271"/>
      <c r="E109" s="271"/>
      <c r="F109" s="271"/>
      <c r="G109" s="271"/>
      <c r="H109" s="271"/>
      <c r="I109" s="272"/>
      <c r="J109" s="272"/>
      <c r="K109" s="273">
        <f>SUM(K4:K104)</f>
        <v>17894734.620550003</v>
      </c>
    </row>
  </sheetData>
  <sheetProtection selectLockedCells="1" selectUnlockedCells="1"/>
  <mergeCells count="2">
    <mergeCell ref="A1:K1"/>
    <mergeCell ref="A3:K3"/>
  </mergeCells>
  <hyperlinks>
    <hyperlink ref="A64" r:id="rId1" display="http://www.portlandtransportation.org/SystemDevelopmentCharge/Rates.htm"/>
    <hyperlink ref="A66" r:id="rId2" display="http://www.portlandparks.org/Planning/SystemDevCharge.htm"/>
  </hyperlinks>
  <printOptions/>
  <pageMargins left="0.747916666666667" right="0.747916666666667" top="0.984027777777778" bottom="0.984027777777778" header="0.511805555555556" footer="0.511805555555556"/>
  <pageSetup horizontalDpi="600" verticalDpi="600" orientation="portrait" scale="48"/>
</worksheet>
</file>

<file path=xl/worksheets/sheet3.xml><?xml version="1.0" encoding="utf-8"?>
<worksheet xmlns="http://schemas.openxmlformats.org/spreadsheetml/2006/main" xmlns:r="http://schemas.openxmlformats.org/officeDocument/2006/relationships">
  <dimension ref="A1:J377"/>
  <sheetViews>
    <sheetView zoomScale="85" zoomScaleNormal="85" zoomScalePageLayoutView="0" workbookViewId="0" topLeftCell="A1">
      <pane ySplit="17" topLeftCell="A75" activePane="bottomLeft" state="frozen"/>
      <selection pane="topLeft" activeCell="A1" sqref="A1"/>
      <selection pane="bottomLeft" activeCell="B18" sqref="B18"/>
    </sheetView>
  </sheetViews>
  <sheetFormatPr defaultColWidth="9.140625" defaultRowHeight="12.75"/>
  <cols>
    <col min="1" max="1" width="4.7109375" style="274" customWidth="1"/>
    <col min="2" max="2" width="13.28125" style="275" customWidth="1"/>
    <col min="3" max="3" width="15.421875" style="275" customWidth="1"/>
    <col min="4" max="4" width="14.00390625" style="275" customWidth="1"/>
    <col min="5" max="5" width="12.140625" style="275" customWidth="1"/>
    <col min="6" max="6" width="14.421875" style="275" customWidth="1"/>
    <col min="7" max="8" width="14.140625" style="275" customWidth="1"/>
    <col min="9" max="9" width="13.421875" style="275" customWidth="1"/>
    <col min="10" max="10" width="13.00390625" style="275" customWidth="1"/>
    <col min="11" max="16384" width="9.140625" style="22" customWidth="1"/>
  </cols>
  <sheetData>
    <row r="1" spans="1:10" ht="24" customHeight="1">
      <c r="A1" s="413" t="s">
        <v>190</v>
      </c>
      <c r="B1" s="413"/>
      <c r="C1" s="413"/>
      <c r="D1" s="413"/>
      <c r="E1" s="276"/>
      <c r="F1" s="276"/>
      <c r="G1" s="276"/>
      <c r="H1" s="276"/>
      <c r="I1" s="276"/>
      <c r="J1" s="276"/>
    </row>
    <row r="2" spans="1:10" ht="3" customHeight="1">
      <c r="A2" s="277"/>
      <c r="B2" s="278"/>
      <c r="C2" s="278"/>
      <c r="D2" s="278"/>
      <c r="E2" s="278"/>
      <c r="F2" s="278"/>
      <c r="G2" s="278"/>
      <c r="H2" s="278"/>
      <c r="I2" s="278"/>
      <c r="J2" s="278"/>
    </row>
    <row r="3" spans="1:10" ht="20.25" customHeight="1">
      <c r="A3" s="276"/>
      <c r="B3" s="279"/>
      <c r="C3" s="279"/>
      <c r="D3" s="279"/>
      <c r="E3" s="279"/>
      <c r="F3" s="279"/>
      <c r="G3" s="279"/>
      <c r="H3" s="279"/>
      <c r="I3" s="279"/>
      <c r="J3" s="279"/>
    </row>
    <row r="4" spans="1:10" ht="14.25" customHeight="1">
      <c r="A4" s="276"/>
      <c r="B4" s="414" t="s">
        <v>191</v>
      </c>
      <c r="C4" s="414"/>
      <c r="D4" s="414"/>
      <c r="E4" s="276"/>
      <c r="F4" s="414" t="s">
        <v>192</v>
      </c>
      <c r="G4" s="414"/>
      <c r="H4" s="414"/>
      <c r="I4" s="280"/>
      <c r="J4" s="276"/>
    </row>
    <row r="5" spans="1:10" ht="12.75">
      <c r="A5" s="276"/>
      <c r="B5" s="281"/>
      <c r="C5" s="282" t="s">
        <v>193</v>
      </c>
      <c r="D5" s="283">
        <f>'Proforma 2'!H30</f>
        <v>12644891.820000002</v>
      </c>
      <c r="E5" s="276"/>
      <c r="F5" s="281"/>
      <c r="G5" s="282" t="s">
        <v>194</v>
      </c>
      <c r="H5" s="284">
        <f>IF(Values_Entered_3,-PMT(Interest_Rate_3/Num_Pmt_Per_Year_3,Loan_Years_3*Num_Pmt_Per_Year_3,Loan_Amount_3),"")</f>
        <v>68502.19681671372</v>
      </c>
      <c r="I5" s="285"/>
      <c r="J5" s="276"/>
    </row>
    <row r="6" spans="1:10" ht="12.75">
      <c r="A6" s="276"/>
      <c r="B6" s="281"/>
      <c r="C6" s="282" t="s">
        <v>195</v>
      </c>
      <c r="D6" s="286">
        <f>'Proforma 2'!H22</f>
        <v>0.0425</v>
      </c>
      <c r="E6" s="276"/>
      <c r="F6" s="281"/>
      <c r="G6" s="282" t="s">
        <v>196</v>
      </c>
      <c r="H6" s="287">
        <f>IF(Values_Entered_3,Loan_Years_3*Num_Pmt_Per_Year_3,"")</f>
        <v>300</v>
      </c>
      <c r="I6" s="288"/>
      <c r="J6" s="289"/>
    </row>
    <row r="7" spans="1:10" ht="12.75">
      <c r="A7" s="276"/>
      <c r="B7" s="281"/>
      <c r="C7" s="282" t="s">
        <v>197</v>
      </c>
      <c r="D7" s="290">
        <f>'Proforma 2'!H23</f>
        <v>25</v>
      </c>
      <c r="E7" s="276"/>
      <c r="F7" s="281"/>
      <c r="G7" s="282" t="s">
        <v>198</v>
      </c>
      <c r="H7" s="287">
        <f>IF(Values_Entered_3,Number_of_Payments_3,"")</f>
        <v>300</v>
      </c>
      <c r="I7" s="288"/>
      <c r="J7" s="289"/>
    </row>
    <row r="8" spans="1:10" ht="12.75">
      <c r="A8" s="276"/>
      <c r="B8" s="281"/>
      <c r="C8" s="282" t="s">
        <v>199</v>
      </c>
      <c r="D8" s="290">
        <v>12</v>
      </c>
      <c r="E8" s="276"/>
      <c r="F8" s="281"/>
      <c r="G8" s="282" t="s">
        <v>200</v>
      </c>
      <c r="H8" s="284">
        <f>IF(Values_Entered_3,SUMIF(Beg_Bal_3,"&gt;0",Extra_Pay_3),"")</f>
        <v>0</v>
      </c>
      <c r="I8" s="285"/>
      <c r="J8" s="289"/>
    </row>
    <row r="9" spans="1:10" ht="12.75">
      <c r="A9" s="276"/>
      <c r="B9" s="281"/>
      <c r="C9" s="282" t="s">
        <v>201</v>
      </c>
      <c r="D9" s="291">
        <v>42370</v>
      </c>
      <c r="E9" s="276"/>
      <c r="F9" s="292"/>
      <c r="G9" s="293" t="s">
        <v>202</v>
      </c>
      <c r="H9" s="284">
        <f>IF(Values_Entered_3,SUMIF(Beg_Bal_3,"&gt;0",Int_3),"")</f>
        <v>7905767.225014114</v>
      </c>
      <c r="I9" s="285"/>
      <c r="J9" s="289"/>
    </row>
    <row r="10" spans="1:10" ht="12.75">
      <c r="A10" s="276"/>
      <c r="B10" s="292"/>
      <c r="C10" s="293" t="s">
        <v>203</v>
      </c>
      <c r="D10" s="294">
        <v>0</v>
      </c>
      <c r="E10" s="276"/>
      <c r="F10" s="279"/>
      <c r="G10" s="279"/>
      <c r="H10" s="279"/>
      <c r="I10" s="279"/>
      <c r="J10" s="289"/>
    </row>
    <row r="11" spans="1:10" ht="12.75">
      <c r="A11" s="276"/>
      <c r="B11" s="279"/>
      <c r="C11" s="279"/>
      <c r="D11" s="279"/>
      <c r="E11" s="279"/>
      <c r="F11" s="279"/>
      <c r="G11" s="279"/>
      <c r="H11" s="279"/>
      <c r="I11" s="279"/>
      <c r="J11" s="279"/>
    </row>
    <row r="12" spans="1:10" ht="12.75">
      <c r="A12" s="276"/>
      <c r="B12" s="295" t="s">
        <v>204</v>
      </c>
      <c r="C12" s="415"/>
      <c r="D12" s="415"/>
      <c r="E12" s="296"/>
      <c r="F12" s="279"/>
      <c r="G12" s="279"/>
      <c r="H12" s="279"/>
      <c r="I12" s="279"/>
      <c r="J12" s="279"/>
    </row>
    <row r="13" spans="1:10" ht="12.75">
      <c r="A13" s="276"/>
      <c r="B13" s="295"/>
      <c r="C13" s="297"/>
      <c r="D13" s="297"/>
      <c r="E13" s="279"/>
      <c r="F13" s="279"/>
      <c r="G13" s="279"/>
      <c r="H13" s="279"/>
      <c r="I13" s="279"/>
      <c r="J13" s="279"/>
    </row>
    <row r="14" spans="1:10" ht="6" customHeight="1">
      <c r="A14" s="277"/>
      <c r="B14" s="278"/>
      <c r="C14" s="278"/>
      <c r="D14" s="278"/>
      <c r="E14" s="278"/>
      <c r="F14" s="278"/>
      <c r="G14" s="278"/>
      <c r="H14" s="278"/>
      <c r="I14" s="278"/>
      <c r="J14" s="278"/>
    </row>
    <row r="15" spans="1:10" ht="3.75" customHeight="1">
      <c r="A15" s="276"/>
      <c r="B15" s="279"/>
      <c r="C15" s="279"/>
      <c r="D15" s="279"/>
      <c r="E15" s="279"/>
      <c r="F15" s="279"/>
      <c r="G15" s="279"/>
      <c r="H15" s="279"/>
      <c r="I15" s="279"/>
      <c r="J15" s="279"/>
    </row>
    <row r="16" spans="1:10" s="300" customFormat="1" ht="28.5" customHeight="1">
      <c r="A16" s="298" t="s">
        <v>205</v>
      </c>
      <c r="B16" s="299" t="s">
        <v>206</v>
      </c>
      <c r="C16" s="299" t="s">
        <v>207</v>
      </c>
      <c r="D16" s="299" t="s">
        <v>208</v>
      </c>
      <c r="E16" s="299" t="s">
        <v>209</v>
      </c>
      <c r="F16" s="299" t="s">
        <v>210</v>
      </c>
      <c r="G16" s="299" t="s">
        <v>211</v>
      </c>
      <c r="H16" s="299" t="s">
        <v>212</v>
      </c>
      <c r="I16" s="299" t="s">
        <v>213</v>
      </c>
      <c r="J16" s="299" t="s">
        <v>214</v>
      </c>
    </row>
    <row r="17" spans="1:10" s="300" customFormat="1" ht="6" customHeight="1">
      <c r="A17" s="301"/>
      <c r="B17" s="302"/>
      <c r="C17" s="302"/>
      <c r="D17" s="302"/>
      <c r="E17" s="302"/>
      <c r="F17" s="302"/>
      <c r="G17" s="302"/>
      <c r="H17" s="302"/>
      <c r="I17" s="302"/>
      <c r="J17" s="303"/>
    </row>
    <row r="18" spans="1:10" s="300" customFormat="1" ht="12.75">
      <c r="A18" s="304">
        <f>IF(Values_Entered_3,1,"")</f>
        <v>1</v>
      </c>
      <c r="B18" s="305">
        <f aca="true" t="shared" si="0" ref="B18:B81">IF(Pay_Num_3&lt;&gt;"",DATE(YEAR(Loan_Start_3),MONTH(Loan_Start_3)+(Pay_Num_3)*12/Num_Pmt_Per_Year_3,DAY(Loan_Start_3)),"")</f>
        <v>42401</v>
      </c>
      <c r="C18" s="306">
        <f>IF(Values_Entered_3,Loan_Amount_3,"")</f>
        <v>12644891.820000002</v>
      </c>
      <c r="D18" s="306">
        <f aca="true" t="shared" si="1" ref="D18:D81">IF(Pay_Num_3&lt;&gt;"",Scheduled_Monthly_Payment_3,"")</f>
        <v>68502.19681671372</v>
      </c>
      <c r="E18" s="306">
        <f aca="true" t="shared" si="2" ref="E18:E81">IF(AND(Pay_Num_3&lt;&gt;"",Sched_Pay_3+Scheduled_Extra_Payments_3&lt;Beg_Bal_3),Scheduled_Extra_Payments_3,IF(AND(Pay_Num_3&lt;&gt;"",Beg_Bal_3-Sched_Pay_3&gt;0),Beg_Bal_3-Sched_Pay_3,IF(Pay_Num_3&lt;&gt;"",0,"")))</f>
        <v>0</v>
      </c>
      <c r="F18" s="306">
        <f aca="true" t="shared" si="3" ref="F18:F81">IF(AND(Pay_Num_3&lt;&gt;"",Sched_Pay_3+Extra_Pay_3&lt;Beg_Bal_3),Sched_Pay_3+Extra_Pay_3,IF(Pay_Num_3&lt;&gt;"",Beg_Bal_3,""))</f>
        <v>68502.19681671372</v>
      </c>
      <c r="G18" s="306">
        <f aca="true" t="shared" si="4" ref="G18:G81">IF(Pay_Num_3&lt;&gt;"",Total_Pay_3-Int_3,"")</f>
        <v>23718.20495421371</v>
      </c>
      <c r="H18" s="306">
        <f>IF(Pay_Num_3&lt;&gt;"",Beg_Bal_3*(Interest_Rate_3/Num_Pmt_Per_Year_3),"")</f>
        <v>44783.991862500014</v>
      </c>
      <c r="I18" s="306">
        <f aca="true" t="shared" si="5" ref="I18:I81">IF(AND(Pay_Num_3&lt;&gt;"",Sched_Pay_3+Extra_Pay_3&lt;Beg_Bal_3),Beg_Bal_3-Princ_3,IF(Pay_Num_3&lt;&gt;"",0,""))</f>
        <v>12621173.615045788</v>
      </c>
      <c r="J18" s="306">
        <f>SUM($H$18:$H18)</f>
        <v>44783.991862500014</v>
      </c>
    </row>
    <row r="19" spans="1:10" s="300" customFormat="1" ht="12.75" customHeight="1">
      <c r="A19" s="304">
        <f aca="true" t="shared" si="6" ref="A19:A82">IF(Values_Entered_3,A18+1,"")</f>
        <v>2</v>
      </c>
      <c r="B19" s="305">
        <f t="shared" si="0"/>
        <v>42430</v>
      </c>
      <c r="C19" s="307">
        <f aca="true" t="shared" si="7" ref="C19:C82">IF(Pay_Num_3&lt;&gt;"",I18,"")</f>
        <v>12621173.615045788</v>
      </c>
      <c r="D19" s="307">
        <f t="shared" si="1"/>
        <v>68502.19681671372</v>
      </c>
      <c r="E19" s="308">
        <f t="shared" si="2"/>
        <v>0</v>
      </c>
      <c r="F19" s="307">
        <f t="shared" si="3"/>
        <v>68502.19681671372</v>
      </c>
      <c r="G19" s="307">
        <f t="shared" si="4"/>
        <v>23802.206930093227</v>
      </c>
      <c r="H19" s="307">
        <f aca="true" t="shared" si="8" ref="H19:H82">IF(Pay_Num_3&lt;&gt;"",Beg_Bal_3*Interest_Rate_3/Num_Pmt_Per_Year_3,"")</f>
        <v>44699.9898866205</v>
      </c>
      <c r="I19" s="307">
        <f t="shared" si="5"/>
        <v>12597371.408115694</v>
      </c>
      <c r="J19" s="307">
        <f>SUM($H$18:$H19)</f>
        <v>89483.98174912052</v>
      </c>
    </row>
    <row r="20" spans="1:10" s="300" customFormat="1" ht="12.75" customHeight="1">
      <c r="A20" s="304">
        <f t="shared" si="6"/>
        <v>3</v>
      </c>
      <c r="B20" s="305">
        <f t="shared" si="0"/>
        <v>42461</v>
      </c>
      <c r="C20" s="307">
        <f t="shared" si="7"/>
        <v>12597371.408115694</v>
      </c>
      <c r="D20" s="307">
        <f t="shared" si="1"/>
        <v>68502.19681671372</v>
      </c>
      <c r="E20" s="308">
        <f t="shared" si="2"/>
        <v>0</v>
      </c>
      <c r="F20" s="307">
        <f t="shared" si="3"/>
        <v>68502.19681671372</v>
      </c>
      <c r="G20" s="307">
        <f t="shared" si="4"/>
        <v>23886.506412970637</v>
      </c>
      <c r="H20" s="307">
        <f t="shared" si="8"/>
        <v>44615.69040374309</v>
      </c>
      <c r="I20" s="307">
        <f t="shared" si="5"/>
        <v>12573484.901702724</v>
      </c>
      <c r="J20" s="307">
        <f>SUM($H$18:$H20)</f>
        <v>134099.6721528636</v>
      </c>
    </row>
    <row r="21" spans="1:10" s="300" customFormat="1" ht="12.75">
      <c r="A21" s="304">
        <f t="shared" si="6"/>
        <v>4</v>
      </c>
      <c r="B21" s="305">
        <f t="shared" si="0"/>
        <v>42491</v>
      </c>
      <c r="C21" s="307">
        <f t="shared" si="7"/>
        <v>12573484.901702724</v>
      </c>
      <c r="D21" s="307">
        <f t="shared" si="1"/>
        <v>68502.19681671372</v>
      </c>
      <c r="E21" s="308">
        <f t="shared" si="2"/>
        <v>0</v>
      </c>
      <c r="F21" s="307">
        <f t="shared" si="3"/>
        <v>68502.19681671372</v>
      </c>
      <c r="G21" s="307">
        <f t="shared" si="4"/>
        <v>23971.104456516572</v>
      </c>
      <c r="H21" s="307">
        <f t="shared" si="8"/>
        <v>44531.09236019715</v>
      </c>
      <c r="I21" s="307">
        <f t="shared" si="5"/>
        <v>12549513.797246208</v>
      </c>
      <c r="J21" s="307">
        <f>SUM($H$18:$H21)</f>
        <v>178630.76451306077</v>
      </c>
    </row>
    <row r="22" spans="1:10" s="300" customFormat="1" ht="12.75">
      <c r="A22" s="304">
        <f t="shared" si="6"/>
        <v>5</v>
      </c>
      <c r="B22" s="305">
        <f t="shared" si="0"/>
        <v>42522</v>
      </c>
      <c r="C22" s="307">
        <f t="shared" si="7"/>
        <v>12549513.797246208</v>
      </c>
      <c r="D22" s="307">
        <f t="shared" si="1"/>
        <v>68502.19681671372</v>
      </c>
      <c r="E22" s="308">
        <f t="shared" si="2"/>
        <v>0</v>
      </c>
      <c r="F22" s="307">
        <f t="shared" si="3"/>
        <v>68502.19681671372</v>
      </c>
      <c r="G22" s="307">
        <f t="shared" si="4"/>
        <v>24056.002118133394</v>
      </c>
      <c r="H22" s="307">
        <f t="shared" si="8"/>
        <v>44446.19469858033</v>
      </c>
      <c r="I22" s="307">
        <f t="shared" si="5"/>
        <v>12525457.795128075</v>
      </c>
      <c r="J22" s="307">
        <f>SUM($H$18:$H22)</f>
        <v>223076.9592116411</v>
      </c>
    </row>
    <row r="23" spans="1:10" ht="12.75">
      <c r="A23" s="304">
        <f t="shared" si="6"/>
        <v>6</v>
      </c>
      <c r="B23" s="305">
        <f t="shared" si="0"/>
        <v>42552</v>
      </c>
      <c r="C23" s="307">
        <f t="shared" si="7"/>
        <v>12525457.795128075</v>
      </c>
      <c r="D23" s="307">
        <f t="shared" si="1"/>
        <v>68502.19681671372</v>
      </c>
      <c r="E23" s="308">
        <f t="shared" si="2"/>
        <v>0</v>
      </c>
      <c r="F23" s="307">
        <f t="shared" si="3"/>
        <v>68502.19681671372</v>
      </c>
      <c r="G23" s="307">
        <f t="shared" si="4"/>
        <v>24141.20045896846</v>
      </c>
      <c r="H23" s="307">
        <f t="shared" si="8"/>
        <v>44360.996357745265</v>
      </c>
      <c r="I23" s="307">
        <f t="shared" si="5"/>
        <v>12501316.594669107</v>
      </c>
      <c r="J23" s="307">
        <f>SUM($H$18:$H23)</f>
        <v>267437.95556938637</v>
      </c>
    </row>
    <row r="24" spans="1:10" ht="12.75">
      <c r="A24" s="304">
        <f t="shared" si="6"/>
        <v>7</v>
      </c>
      <c r="B24" s="305">
        <f t="shared" si="0"/>
        <v>42583</v>
      </c>
      <c r="C24" s="307">
        <f t="shared" si="7"/>
        <v>12501316.594669107</v>
      </c>
      <c r="D24" s="307">
        <f t="shared" si="1"/>
        <v>68502.19681671372</v>
      </c>
      <c r="E24" s="308">
        <f t="shared" si="2"/>
        <v>0</v>
      </c>
      <c r="F24" s="307">
        <f t="shared" si="3"/>
        <v>68502.19681671372</v>
      </c>
      <c r="G24" s="307">
        <f t="shared" si="4"/>
        <v>24226.700543927298</v>
      </c>
      <c r="H24" s="307">
        <f t="shared" si="8"/>
        <v>44275.496272786426</v>
      </c>
      <c r="I24" s="307">
        <f t="shared" si="5"/>
        <v>12477089.89412518</v>
      </c>
      <c r="J24" s="307">
        <f>SUM($H$18:$H24)</f>
        <v>311713.45184217277</v>
      </c>
    </row>
    <row r="25" spans="1:10" ht="12.75">
      <c r="A25" s="304">
        <f t="shared" si="6"/>
        <v>8</v>
      </c>
      <c r="B25" s="305">
        <f t="shared" si="0"/>
        <v>42614</v>
      </c>
      <c r="C25" s="307">
        <f t="shared" si="7"/>
        <v>12477089.89412518</v>
      </c>
      <c r="D25" s="307">
        <f t="shared" si="1"/>
        <v>68502.19681671372</v>
      </c>
      <c r="E25" s="308">
        <f t="shared" si="2"/>
        <v>0</v>
      </c>
      <c r="F25" s="307">
        <f t="shared" si="3"/>
        <v>68502.19681671372</v>
      </c>
      <c r="G25" s="307">
        <f t="shared" si="4"/>
        <v>24312.50344168704</v>
      </c>
      <c r="H25" s="307">
        <f t="shared" si="8"/>
        <v>44189.69337502668</v>
      </c>
      <c r="I25" s="307">
        <f t="shared" si="5"/>
        <v>12452777.390683493</v>
      </c>
      <c r="J25" s="307">
        <f>SUM($H$18:$H25)</f>
        <v>355903.14521719946</v>
      </c>
    </row>
    <row r="26" spans="1:10" ht="12.75">
      <c r="A26" s="304">
        <f t="shared" si="6"/>
        <v>9</v>
      </c>
      <c r="B26" s="305">
        <f t="shared" si="0"/>
        <v>42644</v>
      </c>
      <c r="C26" s="307">
        <f t="shared" si="7"/>
        <v>12452777.390683493</v>
      </c>
      <c r="D26" s="307">
        <f t="shared" si="1"/>
        <v>68502.19681671372</v>
      </c>
      <c r="E26" s="308">
        <f t="shared" si="2"/>
        <v>0</v>
      </c>
      <c r="F26" s="307">
        <f t="shared" si="3"/>
        <v>68502.19681671372</v>
      </c>
      <c r="G26" s="307">
        <f t="shared" si="4"/>
        <v>24398.61022470968</v>
      </c>
      <c r="H26" s="307">
        <f t="shared" si="8"/>
        <v>44103.586592004045</v>
      </c>
      <c r="I26" s="307">
        <f t="shared" si="5"/>
        <v>12428378.780458784</v>
      </c>
      <c r="J26" s="307">
        <f>SUM($H$18:$H26)</f>
        <v>400006.7318092035</v>
      </c>
    </row>
    <row r="27" spans="1:10" ht="12.75">
      <c r="A27" s="304">
        <f t="shared" si="6"/>
        <v>10</v>
      </c>
      <c r="B27" s="305">
        <f t="shared" si="0"/>
        <v>42675</v>
      </c>
      <c r="C27" s="307">
        <f t="shared" si="7"/>
        <v>12428378.780458784</v>
      </c>
      <c r="D27" s="307">
        <f t="shared" si="1"/>
        <v>68502.19681671372</v>
      </c>
      <c r="E27" s="308">
        <f t="shared" si="2"/>
        <v>0</v>
      </c>
      <c r="F27" s="307">
        <f t="shared" si="3"/>
        <v>68502.19681671372</v>
      </c>
      <c r="G27" s="307">
        <f t="shared" si="4"/>
        <v>24485.021969255526</v>
      </c>
      <c r="H27" s="307">
        <f t="shared" si="8"/>
        <v>44017.1748474582</v>
      </c>
      <c r="I27" s="307">
        <f t="shared" si="5"/>
        <v>12403893.758489529</v>
      </c>
      <c r="J27" s="307">
        <f>SUM($H$18:$H27)</f>
        <v>444023.9066566617</v>
      </c>
    </row>
    <row r="28" spans="1:10" ht="12.75">
      <c r="A28" s="304">
        <f t="shared" si="6"/>
        <v>11</v>
      </c>
      <c r="B28" s="305">
        <f t="shared" si="0"/>
        <v>42705</v>
      </c>
      <c r="C28" s="307">
        <f t="shared" si="7"/>
        <v>12403893.758489529</v>
      </c>
      <c r="D28" s="307">
        <f t="shared" si="1"/>
        <v>68502.19681671372</v>
      </c>
      <c r="E28" s="308">
        <f t="shared" si="2"/>
        <v>0</v>
      </c>
      <c r="F28" s="307">
        <f t="shared" si="3"/>
        <v>68502.19681671372</v>
      </c>
      <c r="G28" s="307">
        <f t="shared" si="4"/>
        <v>24571.739755396644</v>
      </c>
      <c r="H28" s="307">
        <f t="shared" si="8"/>
        <v>43930.45706131708</v>
      </c>
      <c r="I28" s="307">
        <f t="shared" si="5"/>
        <v>12379322.018734133</v>
      </c>
      <c r="J28" s="307">
        <f>SUM($H$18:$H28)</f>
        <v>487954.3637179788</v>
      </c>
    </row>
    <row r="29" spans="1:10" ht="12.75">
      <c r="A29" s="304">
        <f t="shared" si="6"/>
        <v>12</v>
      </c>
      <c r="B29" s="305">
        <f t="shared" si="0"/>
        <v>42736</v>
      </c>
      <c r="C29" s="307">
        <f t="shared" si="7"/>
        <v>12379322.018734133</v>
      </c>
      <c r="D29" s="307">
        <f t="shared" si="1"/>
        <v>68502.19681671372</v>
      </c>
      <c r="E29" s="308">
        <f t="shared" si="2"/>
        <v>0</v>
      </c>
      <c r="F29" s="307">
        <f t="shared" si="3"/>
        <v>68502.19681671372</v>
      </c>
      <c r="G29" s="307">
        <f t="shared" si="4"/>
        <v>24658.764667030337</v>
      </c>
      <c r="H29" s="307">
        <f t="shared" si="8"/>
        <v>43843.43214968339</v>
      </c>
      <c r="I29" s="307">
        <f t="shared" si="5"/>
        <v>12354663.254067102</v>
      </c>
      <c r="J29" s="307">
        <f>SUM($H$18:$H29)</f>
        <v>531797.7958676622</v>
      </c>
    </row>
    <row r="30" spans="1:10" ht="12.75">
      <c r="A30" s="304">
        <f t="shared" si="6"/>
        <v>13</v>
      </c>
      <c r="B30" s="305">
        <f t="shared" si="0"/>
        <v>42767</v>
      </c>
      <c r="C30" s="307">
        <f t="shared" si="7"/>
        <v>12354663.254067102</v>
      </c>
      <c r="D30" s="307">
        <f t="shared" si="1"/>
        <v>68502.19681671372</v>
      </c>
      <c r="E30" s="308">
        <f t="shared" si="2"/>
        <v>0</v>
      </c>
      <c r="F30" s="307">
        <f t="shared" si="3"/>
        <v>68502.19681671372</v>
      </c>
      <c r="G30" s="307">
        <f t="shared" si="4"/>
        <v>24746.09779189273</v>
      </c>
      <c r="H30" s="307">
        <f t="shared" si="8"/>
        <v>43756.09902482099</v>
      </c>
      <c r="I30" s="307">
        <f t="shared" si="5"/>
        <v>12329917.156275209</v>
      </c>
      <c r="J30" s="307">
        <f>SUM($H$18:$H30)</f>
        <v>575553.8948924831</v>
      </c>
    </row>
    <row r="31" spans="1:10" ht="12.75">
      <c r="A31" s="304">
        <f t="shared" si="6"/>
        <v>14</v>
      </c>
      <c r="B31" s="305">
        <f t="shared" si="0"/>
        <v>42795</v>
      </c>
      <c r="C31" s="307">
        <f t="shared" si="7"/>
        <v>12329917.156275209</v>
      </c>
      <c r="D31" s="307">
        <f t="shared" si="1"/>
        <v>68502.19681671372</v>
      </c>
      <c r="E31" s="308">
        <f t="shared" si="2"/>
        <v>0</v>
      </c>
      <c r="F31" s="307">
        <f t="shared" si="3"/>
        <v>68502.19681671372</v>
      </c>
      <c r="G31" s="307">
        <f t="shared" si="4"/>
        <v>24833.740221572356</v>
      </c>
      <c r="H31" s="307">
        <f t="shared" si="8"/>
        <v>43668.45659514137</v>
      </c>
      <c r="I31" s="307">
        <f t="shared" si="5"/>
        <v>12305083.416053636</v>
      </c>
      <c r="J31" s="307">
        <f>SUM($H$18:$H31)</f>
        <v>619222.3514876245</v>
      </c>
    </row>
    <row r="32" spans="1:10" ht="12.75">
      <c r="A32" s="304">
        <f t="shared" si="6"/>
        <v>15</v>
      </c>
      <c r="B32" s="305">
        <f t="shared" si="0"/>
        <v>42826</v>
      </c>
      <c r="C32" s="307">
        <f t="shared" si="7"/>
        <v>12305083.416053636</v>
      </c>
      <c r="D32" s="307">
        <f t="shared" si="1"/>
        <v>68502.19681671372</v>
      </c>
      <c r="E32" s="308">
        <f t="shared" si="2"/>
        <v>0</v>
      </c>
      <c r="F32" s="307">
        <f t="shared" si="3"/>
        <v>68502.19681671372</v>
      </c>
      <c r="G32" s="307">
        <f t="shared" si="4"/>
        <v>24921.693051523762</v>
      </c>
      <c r="H32" s="307">
        <f t="shared" si="8"/>
        <v>43580.50376518996</v>
      </c>
      <c r="I32" s="307">
        <f t="shared" si="5"/>
        <v>12280161.723002112</v>
      </c>
      <c r="J32" s="307">
        <f>SUM($H$18:$H32)</f>
        <v>662802.8552528145</v>
      </c>
    </row>
    <row r="33" spans="1:10" ht="12.75">
      <c r="A33" s="304">
        <f t="shared" si="6"/>
        <v>16</v>
      </c>
      <c r="B33" s="305">
        <f t="shared" si="0"/>
        <v>42856</v>
      </c>
      <c r="C33" s="307">
        <f t="shared" si="7"/>
        <v>12280161.723002112</v>
      </c>
      <c r="D33" s="307">
        <f t="shared" si="1"/>
        <v>68502.19681671372</v>
      </c>
      <c r="E33" s="308">
        <f t="shared" si="2"/>
        <v>0</v>
      </c>
      <c r="F33" s="307">
        <f t="shared" si="3"/>
        <v>68502.19681671372</v>
      </c>
      <c r="G33" s="307">
        <f t="shared" si="4"/>
        <v>25009.957381081244</v>
      </c>
      <c r="H33" s="307">
        <f t="shared" si="8"/>
        <v>43492.23943563248</v>
      </c>
      <c r="I33" s="307">
        <f t="shared" si="5"/>
        <v>12255151.76562103</v>
      </c>
      <c r="J33" s="307">
        <f>SUM($H$18:$H33)</f>
        <v>706295.094688447</v>
      </c>
    </row>
    <row r="34" spans="1:10" ht="12.75">
      <c r="A34" s="304">
        <f t="shared" si="6"/>
        <v>17</v>
      </c>
      <c r="B34" s="305">
        <f t="shared" si="0"/>
        <v>42887</v>
      </c>
      <c r="C34" s="307">
        <f t="shared" si="7"/>
        <v>12255151.76562103</v>
      </c>
      <c r="D34" s="307">
        <f t="shared" si="1"/>
        <v>68502.19681671372</v>
      </c>
      <c r="E34" s="308">
        <f t="shared" si="2"/>
        <v>0</v>
      </c>
      <c r="F34" s="307">
        <f t="shared" si="3"/>
        <v>68502.19681671372</v>
      </c>
      <c r="G34" s="307">
        <f t="shared" si="4"/>
        <v>25098.53431347257</v>
      </c>
      <c r="H34" s="307">
        <f t="shared" si="8"/>
        <v>43403.662503241154</v>
      </c>
      <c r="I34" s="307">
        <f t="shared" si="5"/>
        <v>12230053.231307559</v>
      </c>
      <c r="J34" s="307">
        <f>SUM($H$18:$H34)</f>
        <v>749698.757191688</v>
      </c>
    </row>
    <row r="35" spans="1:10" ht="12.75">
      <c r="A35" s="304">
        <f t="shared" si="6"/>
        <v>18</v>
      </c>
      <c r="B35" s="305">
        <f t="shared" si="0"/>
        <v>42917</v>
      </c>
      <c r="C35" s="307">
        <f t="shared" si="7"/>
        <v>12230053.231307559</v>
      </c>
      <c r="D35" s="307">
        <f t="shared" si="1"/>
        <v>68502.19681671372</v>
      </c>
      <c r="E35" s="308">
        <f t="shared" si="2"/>
        <v>0</v>
      </c>
      <c r="F35" s="307">
        <f t="shared" si="3"/>
        <v>68502.19681671372</v>
      </c>
      <c r="G35" s="307">
        <f t="shared" si="4"/>
        <v>25187.42495583278</v>
      </c>
      <c r="H35" s="307">
        <f t="shared" si="8"/>
        <v>43314.771860880945</v>
      </c>
      <c r="I35" s="307">
        <f t="shared" si="5"/>
        <v>12204865.806351725</v>
      </c>
      <c r="J35" s="307">
        <f>SUM($H$18:$H35)</f>
        <v>793013.529052569</v>
      </c>
    </row>
    <row r="36" spans="1:10" ht="12.75">
      <c r="A36" s="304">
        <f t="shared" si="6"/>
        <v>19</v>
      </c>
      <c r="B36" s="305">
        <f t="shared" si="0"/>
        <v>42948</v>
      </c>
      <c r="C36" s="307">
        <f t="shared" si="7"/>
        <v>12204865.806351725</v>
      </c>
      <c r="D36" s="307">
        <f t="shared" si="1"/>
        <v>68502.19681671372</v>
      </c>
      <c r="E36" s="308">
        <f t="shared" si="2"/>
        <v>0</v>
      </c>
      <c r="F36" s="307">
        <f t="shared" si="3"/>
        <v>68502.19681671372</v>
      </c>
      <c r="G36" s="307">
        <f t="shared" si="4"/>
        <v>25276.630419218032</v>
      </c>
      <c r="H36" s="307">
        <f t="shared" si="8"/>
        <v>43225.56639749569</v>
      </c>
      <c r="I36" s="307">
        <f t="shared" si="5"/>
        <v>12179589.175932506</v>
      </c>
      <c r="J36" s="307">
        <f>SUM($H$18:$H36)</f>
        <v>836239.0954500646</v>
      </c>
    </row>
    <row r="37" spans="1:10" ht="12.75">
      <c r="A37" s="304">
        <f t="shared" si="6"/>
        <v>20</v>
      </c>
      <c r="B37" s="305">
        <f t="shared" si="0"/>
        <v>42979</v>
      </c>
      <c r="C37" s="307">
        <f t="shared" si="7"/>
        <v>12179589.175932506</v>
      </c>
      <c r="D37" s="307">
        <f t="shared" si="1"/>
        <v>68502.19681671372</v>
      </c>
      <c r="E37" s="308">
        <f t="shared" si="2"/>
        <v>0</v>
      </c>
      <c r="F37" s="307">
        <f t="shared" si="3"/>
        <v>68502.19681671372</v>
      </c>
      <c r="G37" s="307">
        <f t="shared" si="4"/>
        <v>25366.15181861943</v>
      </c>
      <c r="H37" s="307">
        <f t="shared" si="8"/>
        <v>43136.044998094294</v>
      </c>
      <c r="I37" s="307">
        <f t="shared" si="5"/>
        <v>12154223.024113886</v>
      </c>
      <c r="J37" s="307">
        <f>SUM($H$18:$H37)</f>
        <v>879375.140448159</v>
      </c>
    </row>
    <row r="38" spans="1:10" ht="12.75">
      <c r="A38" s="304">
        <f t="shared" si="6"/>
        <v>21</v>
      </c>
      <c r="B38" s="305">
        <f t="shared" si="0"/>
        <v>43009</v>
      </c>
      <c r="C38" s="307">
        <f t="shared" si="7"/>
        <v>12154223.024113886</v>
      </c>
      <c r="D38" s="307">
        <f t="shared" si="1"/>
        <v>68502.19681671372</v>
      </c>
      <c r="E38" s="308">
        <f t="shared" si="2"/>
        <v>0</v>
      </c>
      <c r="F38" s="307">
        <f t="shared" si="3"/>
        <v>68502.19681671372</v>
      </c>
      <c r="G38" s="307">
        <f t="shared" si="4"/>
        <v>25455.99027297704</v>
      </c>
      <c r="H38" s="307">
        <f t="shared" si="8"/>
        <v>43046.206543736684</v>
      </c>
      <c r="I38" s="307">
        <f t="shared" si="5"/>
        <v>12128767.03384091</v>
      </c>
      <c r="J38" s="307">
        <f>SUM($H$18:$H38)</f>
        <v>922421.3469918957</v>
      </c>
    </row>
    <row r="39" spans="1:10" ht="12.75">
      <c r="A39" s="304">
        <f t="shared" si="6"/>
        <v>22</v>
      </c>
      <c r="B39" s="305">
        <f t="shared" si="0"/>
        <v>43040</v>
      </c>
      <c r="C39" s="307">
        <f t="shared" si="7"/>
        <v>12128767.03384091</v>
      </c>
      <c r="D39" s="307">
        <f t="shared" si="1"/>
        <v>68502.19681671372</v>
      </c>
      <c r="E39" s="308">
        <f t="shared" si="2"/>
        <v>0</v>
      </c>
      <c r="F39" s="307">
        <f t="shared" si="3"/>
        <v>68502.19681671372</v>
      </c>
      <c r="G39" s="307">
        <f t="shared" si="4"/>
        <v>25546.146905193833</v>
      </c>
      <c r="H39" s="307">
        <f t="shared" si="8"/>
        <v>42956.04991151989</v>
      </c>
      <c r="I39" s="307">
        <f t="shared" si="5"/>
        <v>12103220.886935716</v>
      </c>
      <c r="J39" s="307">
        <f>SUM($H$18:$H39)</f>
        <v>965377.3969034156</v>
      </c>
    </row>
    <row r="40" spans="1:10" ht="12.75">
      <c r="A40" s="304">
        <f t="shared" si="6"/>
        <v>23</v>
      </c>
      <c r="B40" s="305">
        <f t="shared" si="0"/>
        <v>43070</v>
      </c>
      <c r="C40" s="307">
        <f t="shared" si="7"/>
        <v>12103220.886935716</v>
      </c>
      <c r="D40" s="307">
        <f t="shared" si="1"/>
        <v>68502.19681671372</v>
      </c>
      <c r="E40" s="308">
        <f t="shared" si="2"/>
        <v>0</v>
      </c>
      <c r="F40" s="307">
        <f t="shared" si="3"/>
        <v>68502.19681671372</v>
      </c>
      <c r="G40" s="307">
        <f t="shared" si="4"/>
        <v>25636.62284214973</v>
      </c>
      <c r="H40" s="307">
        <f t="shared" si="8"/>
        <v>42865.573974563995</v>
      </c>
      <c r="I40" s="307">
        <f t="shared" si="5"/>
        <v>12077584.264093567</v>
      </c>
      <c r="J40" s="307">
        <f>SUM($H$18:$H40)</f>
        <v>1008242.9708779795</v>
      </c>
    </row>
    <row r="41" spans="1:10" ht="12.75">
      <c r="A41" s="304">
        <f t="shared" si="6"/>
        <v>24</v>
      </c>
      <c r="B41" s="305">
        <f t="shared" si="0"/>
        <v>43101</v>
      </c>
      <c r="C41" s="307">
        <f t="shared" si="7"/>
        <v>12077584.264093567</v>
      </c>
      <c r="D41" s="307">
        <f t="shared" si="1"/>
        <v>68502.19681671372</v>
      </c>
      <c r="E41" s="308">
        <f t="shared" si="2"/>
        <v>0</v>
      </c>
      <c r="F41" s="307">
        <f t="shared" si="3"/>
        <v>68502.19681671372</v>
      </c>
      <c r="G41" s="307">
        <f t="shared" si="4"/>
        <v>25727.419214715672</v>
      </c>
      <c r="H41" s="307">
        <f t="shared" si="8"/>
        <v>42774.77760199805</v>
      </c>
      <c r="I41" s="307">
        <f t="shared" si="5"/>
        <v>12051856.84487885</v>
      </c>
      <c r="J41" s="307">
        <f>SUM($H$18:$H41)</f>
        <v>1051017.7484799775</v>
      </c>
    </row>
    <row r="42" spans="1:10" ht="12.75">
      <c r="A42" s="304">
        <f t="shared" si="6"/>
        <v>25</v>
      </c>
      <c r="B42" s="305">
        <f t="shared" si="0"/>
        <v>43132</v>
      </c>
      <c r="C42" s="307">
        <f t="shared" si="7"/>
        <v>12051856.84487885</v>
      </c>
      <c r="D42" s="307">
        <f t="shared" si="1"/>
        <v>68502.19681671372</v>
      </c>
      <c r="E42" s="308">
        <f t="shared" si="2"/>
        <v>0</v>
      </c>
      <c r="F42" s="307">
        <f t="shared" si="3"/>
        <v>68502.19681671372</v>
      </c>
      <c r="G42" s="307">
        <f t="shared" si="4"/>
        <v>25818.537157767794</v>
      </c>
      <c r="H42" s="307">
        <f t="shared" si="8"/>
        <v>42683.65965894593</v>
      </c>
      <c r="I42" s="307">
        <f t="shared" si="5"/>
        <v>12026038.307721082</v>
      </c>
      <c r="J42" s="307">
        <f>SUM($H$18:$H42)</f>
        <v>1093701.4081389233</v>
      </c>
    </row>
    <row r="43" spans="1:10" ht="12.75">
      <c r="A43" s="304">
        <f t="shared" si="6"/>
        <v>26</v>
      </c>
      <c r="B43" s="305">
        <f t="shared" si="0"/>
        <v>43160</v>
      </c>
      <c r="C43" s="307">
        <f t="shared" si="7"/>
        <v>12026038.307721082</v>
      </c>
      <c r="D43" s="307">
        <f t="shared" si="1"/>
        <v>68502.19681671372</v>
      </c>
      <c r="E43" s="308">
        <f t="shared" si="2"/>
        <v>0</v>
      </c>
      <c r="F43" s="307">
        <f t="shared" si="3"/>
        <v>68502.19681671372</v>
      </c>
      <c r="G43" s="307">
        <f t="shared" si="4"/>
        <v>25909.977810201555</v>
      </c>
      <c r="H43" s="307">
        <f t="shared" si="8"/>
        <v>42592.21900651217</v>
      </c>
      <c r="I43" s="307">
        <f t="shared" si="5"/>
        <v>12000128.32991088</v>
      </c>
      <c r="J43" s="307">
        <f>SUM($H$18:$H43)</f>
        <v>1136293.6271454354</v>
      </c>
    </row>
    <row r="44" spans="1:10" ht="12.75">
      <c r="A44" s="304">
        <f t="shared" si="6"/>
        <v>27</v>
      </c>
      <c r="B44" s="305">
        <f t="shared" si="0"/>
        <v>43191</v>
      </c>
      <c r="C44" s="307">
        <f t="shared" si="7"/>
        <v>12000128.32991088</v>
      </c>
      <c r="D44" s="307">
        <f t="shared" si="1"/>
        <v>68502.19681671372</v>
      </c>
      <c r="E44" s="308">
        <f t="shared" si="2"/>
        <v>0</v>
      </c>
      <c r="F44" s="307">
        <f t="shared" si="3"/>
        <v>68502.19681671372</v>
      </c>
      <c r="G44" s="307">
        <f t="shared" si="4"/>
        <v>26001.742314946023</v>
      </c>
      <c r="H44" s="307">
        <f t="shared" si="8"/>
        <v>42500.4545017677</v>
      </c>
      <c r="I44" s="307">
        <f t="shared" si="5"/>
        <v>11974126.587595934</v>
      </c>
      <c r="J44" s="307">
        <f>SUM($H$18:$H44)</f>
        <v>1178794.081647203</v>
      </c>
    </row>
    <row r="45" spans="1:10" ht="12.75">
      <c r="A45" s="304">
        <f t="shared" si="6"/>
        <v>28</v>
      </c>
      <c r="B45" s="305">
        <f t="shared" si="0"/>
        <v>43221</v>
      </c>
      <c r="C45" s="307">
        <f t="shared" si="7"/>
        <v>11974126.587595934</v>
      </c>
      <c r="D45" s="307">
        <f t="shared" si="1"/>
        <v>68502.19681671372</v>
      </c>
      <c r="E45" s="308">
        <f t="shared" si="2"/>
        <v>0</v>
      </c>
      <c r="F45" s="307">
        <f t="shared" si="3"/>
        <v>68502.19681671372</v>
      </c>
      <c r="G45" s="307">
        <f t="shared" si="4"/>
        <v>26093.83181897812</v>
      </c>
      <c r="H45" s="307">
        <f t="shared" si="8"/>
        <v>42408.3649977356</v>
      </c>
      <c r="I45" s="307">
        <f t="shared" si="5"/>
        <v>11948032.755776957</v>
      </c>
      <c r="J45" s="307">
        <f>SUM($H$18:$H45)</f>
        <v>1221202.4466449388</v>
      </c>
    </row>
    <row r="46" spans="1:10" ht="12.75">
      <c r="A46" s="304">
        <f t="shared" si="6"/>
        <v>29</v>
      </c>
      <c r="B46" s="305">
        <f t="shared" si="0"/>
        <v>43252</v>
      </c>
      <c r="C46" s="307">
        <f t="shared" si="7"/>
        <v>11948032.755776957</v>
      </c>
      <c r="D46" s="307">
        <f t="shared" si="1"/>
        <v>68502.19681671372</v>
      </c>
      <c r="E46" s="308">
        <f t="shared" si="2"/>
        <v>0</v>
      </c>
      <c r="F46" s="307">
        <f t="shared" si="3"/>
        <v>68502.19681671372</v>
      </c>
      <c r="G46" s="307">
        <f t="shared" si="4"/>
        <v>26186.247473336996</v>
      </c>
      <c r="H46" s="307">
        <f t="shared" si="8"/>
        <v>42315.94934337673</v>
      </c>
      <c r="I46" s="307">
        <f t="shared" si="5"/>
        <v>11921846.50830362</v>
      </c>
      <c r="J46" s="307">
        <f>SUM($H$18:$H46)</f>
        <v>1263518.3959883156</v>
      </c>
    </row>
    <row r="47" spans="1:10" ht="12.75">
      <c r="A47" s="304">
        <f t="shared" si="6"/>
        <v>30</v>
      </c>
      <c r="B47" s="305">
        <f t="shared" si="0"/>
        <v>43282</v>
      </c>
      <c r="C47" s="307">
        <f t="shared" si="7"/>
        <v>11921846.50830362</v>
      </c>
      <c r="D47" s="307">
        <f t="shared" si="1"/>
        <v>68502.19681671372</v>
      </c>
      <c r="E47" s="308">
        <f t="shared" si="2"/>
        <v>0</v>
      </c>
      <c r="F47" s="307">
        <f t="shared" si="3"/>
        <v>68502.19681671372</v>
      </c>
      <c r="G47" s="307">
        <f t="shared" si="4"/>
        <v>26278.990433138402</v>
      </c>
      <c r="H47" s="307">
        <f t="shared" si="8"/>
        <v>42223.20638357532</v>
      </c>
      <c r="I47" s="307">
        <f t="shared" si="5"/>
        <v>11895567.517870482</v>
      </c>
      <c r="J47" s="307">
        <f>SUM($H$18:$H47)</f>
        <v>1305741.6023718908</v>
      </c>
    </row>
    <row r="48" spans="1:10" ht="12.75">
      <c r="A48" s="304">
        <f t="shared" si="6"/>
        <v>31</v>
      </c>
      <c r="B48" s="305">
        <f t="shared" si="0"/>
        <v>43313</v>
      </c>
      <c r="C48" s="307">
        <f t="shared" si="7"/>
        <v>11895567.517870482</v>
      </c>
      <c r="D48" s="307">
        <f t="shared" si="1"/>
        <v>68502.19681671372</v>
      </c>
      <c r="E48" s="308">
        <f t="shared" si="2"/>
        <v>0</v>
      </c>
      <c r="F48" s="307">
        <f t="shared" si="3"/>
        <v>68502.19681671372</v>
      </c>
      <c r="G48" s="307">
        <f t="shared" si="4"/>
        <v>26372.0618575891</v>
      </c>
      <c r="H48" s="307">
        <f t="shared" si="8"/>
        <v>42130.134959124625</v>
      </c>
      <c r="I48" s="307">
        <f t="shared" si="5"/>
        <v>11869195.456012893</v>
      </c>
      <c r="J48" s="307">
        <f>SUM($H$18:$H48)</f>
        <v>1347871.7373310155</v>
      </c>
    </row>
    <row r="49" spans="1:10" ht="12.75">
      <c r="A49" s="304">
        <f t="shared" si="6"/>
        <v>32</v>
      </c>
      <c r="B49" s="305">
        <f t="shared" si="0"/>
        <v>43344</v>
      </c>
      <c r="C49" s="307">
        <f t="shared" si="7"/>
        <v>11869195.456012893</v>
      </c>
      <c r="D49" s="307">
        <f t="shared" si="1"/>
        <v>68502.19681671372</v>
      </c>
      <c r="E49" s="308">
        <f t="shared" si="2"/>
        <v>0</v>
      </c>
      <c r="F49" s="307">
        <f t="shared" si="3"/>
        <v>68502.19681671372</v>
      </c>
      <c r="G49" s="307">
        <f t="shared" si="4"/>
        <v>26465.46291000139</v>
      </c>
      <c r="H49" s="307">
        <f t="shared" si="8"/>
        <v>42036.73390671233</v>
      </c>
      <c r="I49" s="307">
        <f t="shared" si="5"/>
        <v>11842729.993102891</v>
      </c>
      <c r="J49" s="307">
        <f>SUM($H$18:$H49)</f>
        <v>1389908.471237728</v>
      </c>
    </row>
    <row r="50" spans="1:10" ht="12.75">
      <c r="A50" s="304">
        <f t="shared" si="6"/>
        <v>33</v>
      </c>
      <c r="B50" s="305">
        <f t="shared" si="0"/>
        <v>43374</v>
      </c>
      <c r="C50" s="307">
        <f t="shared" si="7"/>
        <v>11842729.993102891</v>
      </c>
      <c r="D50" s="307">
        <f t="shared" si="1"/>
        <v>68502.19681671372</v>
      </c>
      <c r="E50" s="308">
        <f t="shared" si="2"/>
        <v>0</v>
      </c>
      <c r="F50" s="307">
        <f t="shared" si="3"/>
        <v>68502.19681671372</v>
      </c>
      <c r="G50" s="307">
        <f t="shared" si="4"/>
        <v>26559.194757807643</v>
      </c>
      <c r="H50" s="307">
        <f t="shared" si="8"/>
        <v>41943.00205890608</v>
      </c>
      <c r="I50" s="307">
        <f t="shared" si="5"/>
        <v>11816170.798345083</v>
      </c>
      <c r="J50" s="307">
        <f>SUM($H$18:$H50)</f>
        <v>1431851.473296634</v>
      </c>
    </row>
    <row r="51" spans="1:10" ht="12.75">
      <c r="A51" s="304">
        <f t="shared" si="6"/>
        <v>34</v>
      </c>
      <c r="B51" s="305">
        <f t="shared" si="0"/>
        <v>43405</v>
      </c>
      <c r="C51" s="307">
        <f t="shared" si="7"/>
        <v>11816170.798345083</v>
      </c>
      <c r="D51" s="307">
        <f t="shared" si="1"/>
        <v>68502.19681671372</v>
      </c>
      <c r="E51" s="308">
        <f t="shared" si="2"/>
        <v>0</v>
      </c>
      <c r="F51" s="307">
        <f t="shared" si="3"/>
        <v>68502.19681671372</v>
      </c>
      <c r="G51" s="307">
        <f t="shared" si="4"/>
        <v>26653.258572574887</v>
      </c>
      <c r="H51" s="307">
        <f t="shared" si="8"/>
        <v>41848.93824413884</v>
      </c>
      <c r="I51" s="307">
        <f t="shared" si="5"/>
        <v>11789517.539772509</v>
      </c>
      <c r="J51" s="307">
        <f>SUM($H$18:$H51)</f>
        <v>1473700.4115407728</v>
      </c>
    </row>
    <row r="52" spans="1:10" ht="12.75">
      <c r="A52" s="304">
        <f t="shared" si="6"/>
        <v>35</v>
      </c>
      <c r="B52" s="305">
        <f t="shared" si="0"/>
        <v>43435</v>
      </c>
      <c r="C52" s="307">
        <f t="shared" si="7"/>
        <v>11789517.539772509</v>
      </c>
      <c r="D52" s="307">
        <f t="shared" si="1"/>
        <v>68502.19681671372</v>
      </c>
      <c r="E52" s="308">
        <f t="shared" si="2"/>
        <v>0</v>
      </c>
      <c r="F52" s="307">
        <f t="shared" si="3"/>
        <v>68502.19681671372</v>
      </c>
      <c r="G52" s="307">
        <f t="shared" si="4"/>
        <v>26747.655530019423</v>
      </c>
      <c r="H52" s="307">
        <f t="shared" si="8"/>
        <v>41754.5412866943</v>
      </c>
      <c r="I52" s="307">
        <f t="shared" si="5"/>
        <v>11762769.88424249</v>
      </c>
      <c r="J52" s="307">
        <f>SUM($H$18:$H52)</f>
        <v>1515454.9528274671</v>
      </c>
    </row>
    <row r="53" spans="1:10" ht="12.75">
      <c r="A53" s="304">
        <f t="shared" si="6"/>
        <v>36</v>
      </c>
      <c r="B53" s="305">
        <f t="shared" si="0"/>
        <v>43466</v>
      </c>
      <c r="C53" s="307">
        <f t="shared" si="7"/>
        <v>11762769.88424249</v>
      </c>
      <c r="D53" s="307">
        <f t="shared" si="1"/>
        <v>68502.19681671372</v>
      </c>
      <c r="E53" s="308">
        <f t="shared" si="2"/>
        <v>0</v>
      </c>
      <c r="F53" s="307">
        <f t="shared" si="3"/>
        <v>68502.19681671372</v>
      </c>
      <c r="G53" s="307">
        <f t="shared" si="4"/>
        <v>26842.38681002157</v>
      </c>
      <c r="H53" s="307">
        <f t="shared" si="8"/>
        <v>41659.810006692154</v>
      </c>
      <c r="I53" s="307">
        <f t="shared" si="5"/>
        <v>11735927.497432468</v>
      </c>
      <c r="J53" s="307">
        <f>SUM($H$18:$H53)</f>
        <v>1557114.7628341592</v>
      </c>
    </row>
    <row r="54" spans="1:10" ht="12.75">
      <c r="A54" s="304">
        <f t="shared" si="6"/>
        <v>37</v>
      </c>
      <c r="B54" s="305">
        <f t="shared" si="0"/>
        <v>43497</v>
      </c>
      <c r="C54" s="307">
        <f t="shared" si="7"/>
        <v>11735927.497432468</v>
      </c>
      <c r="D54" s="307">
        <f t="shared" si="1"/>
        <v>68502.19681671372</v>
      </c>
      <c r="E54" s="308">
        <f t="shared" si="2"/>
        <v>0</v>
      </c>
      <c r="F54" s="307">
        <f t="shared" si="3"/>
        <v>68502.19681671372</v>
      </c>
      <c r="G54" s="307">
        <f t="shared" si="4"/>
        <v>26937.453596640393</v>
      </c>
      <c r="H54" s="307">
        <f t="shared" si="8"/>
        <v>41564.74322007333</v>
      </c>
      <c r="I54" s="307">
        <f t="shared" si="5"/>
        <v>11708990.043835828</v>
      </c>
      <c r="J54" s="307">
        <f>SUM($H$18:$H54)</f>
        <v>1598679.5060542326</v>
      </c>
    </row>
    <row r="55" spans="1:10" ht="12.75">
      <c r="A55" s="304">
        <f t="shared" si="6"/>
        <v>38</v>
      </c>
      <c r="B55" s="305">
        <f t="shared" si="0"/>
        <v>43525</v>
      </c>
      <c r="C55" s="307">
        <f t="shared" si="7"/>
        <v>11708990.043835828</v>
      </c>
      <c r="D55" s="307">
        <f t="shared" si="1"/>
        <v>68502.19681671372</v>
      </c>
      <c r="E55" s="308">
        <f t="shared" si="2"/>
        <v>0</v>
      </c>
      <c r="F55" s="307">
        <f t="shared" si="3"/>
        <v>68502.19681671372</v>
      </c>
      <c r="G55" s="307">
        <f t="shared" si="4"/>
        <v>27032.857078128494</v>
      </c>
      <c r="H55" s="307">
        <f t="shared" si="8"/>
        <v>41469.33973858523</v>
      </c>
      <c r="I55" s="307">
        <f t="shared" si="5"/>
        <v>11681957.186757699</v>
      </c>
      <c r="J55" s="307">
        <f>SUM($H$18:$H55)</f>
        <v>1640148.8457928179</v>
      </c>
    </row>
    <row r="56" spans="1:10" ht="12.75">
      <c r="A56" s="304">
        <f t="shared" si="6"/>
        <v>39</v>
      </c>
      <c r="B56" s="305">
        <f t="shared" si="0"/>
        <v>43556</v>
      </c>
      <c r="C56" s="307">
        <f t="shared" si="7"/>
        <v>11681957.186757699</v>
      </c>
      <c r="D56" s="307">
        <f t="shared" si="1"/>
        <v>68502.19681671372</v>
      </c>
      <c r="E56" s="308">
        <f t="shared" si="2"/>
        <v>0</v>
      </c>
      <c r="F56" s="307">
        <f t="shared" si="3"/>
        <v>68502.19681671372</v>
      </c>
      <c r="G56" s="307">
        <f t="shared" si="4"/>
        <v>27128.598446946875</v>
      </c>
      <c r="H56" s="307">
        <f t="shared" si="8"/>
        <v>41373.59836976685</v>
      </c>
      <c r="I56" s="307">
        <f t="shared" si="5"/>
        <v>11654828.588310752</v>
      </c>
      <c r="J56" s="307">
        <f>SUM($H$18:$H56)</f>
        <v>1681522.4441625848</v>
      </c>
    </row>
    <row r="57" spans="1:10" ht="12.75">
      <c r="A57" s="304">
        <f t="shared" si="6"/>
        <v>40</v>
      </c>
      <c r="B57" s="305">
        <f t="shared" si="0"/>
        <v>43586</v>
      </c>
      <c r="C57" s="307">
        <f t="shared" si="7"/>
        <v>11654828.588310752</v>
      </c>
      <c r="D57" s="307">
        <f t="shared" si="1"/>
        <v>68502.19681671372</v>
      </c>
      <c r="E57" s="308">
        <f t="shared" si="2"/>
        <v>0</v>
      </c>
      <c r="F57" s="307">
        <f t="shared" si="3"/>
        <v>68502.19681671372</v>
      </c>
      <c r="G57" s="307">
        <f t="shared" si="4"/>
        <v>27224.678899779807</v>
      </c>
      <c r="H57" s="307">
        <f t="shared" si="8"/>
        <v>41277.51791693392</v>
      </c>
      <c r="I57" s="307">
        <f t="shared" si="5"/>
        <v>11627603.909410972</v>
      </c>
      <c r="J57" s="307">
        <f>SUM($H$18:$H57)</f>
        <v>1722799.9620795187</v>
      </c>
    </row>
    <row r="58" spans="1:10" ht="12.75">
      <c r="A58" s="304">
        <f t="shared" si="6"/>
        <v>41</v>
      </c>
      <c r="B58" s="305">
        <f t="shared" si="0"/>
        <v>43617</v>
      </c>
      <c r="C58" s="307">
        <f t="shared" si="7"/>
        <v>11627603.909410972</v>
      </c>
      <c r="D58" s="307">
        <f t="shared" si="1"/>
        <v>68502.19681671372</v>
      </c>
      <c r="E58" s="308">
        <f t="shared" si="2"/>
        <v>0</v>
      </c>
      <c r="F58" s="307">
        <f t="shared" si="3"/>
        <v>68502.19681671372</v>
      </c>
      <c r="G58" s="307">
        <f t="shared" si="4"/>
        <v>27321.099637549858</v>
      </c>
      <c r="H58" s="307">
        <f t="shared" si="8"/>
        <v>41181.097179163866</v>
      </c>
      <c r="I58" s="307">
        <f t="shared" si="5"/>
        <v>11600282.809773423</v>
      </c>
      <c r="J58" s="307">
        <f>SUM($H$18:$H58)</f>
        <v>1763981.0592586827</v>
      </c>
    </row>
    <row r="59" spans="1:10" ht="12.75">
      <c r="A59" s="304">
        <f t="shared" si="6"/>
        <v>42</v>
      </c>
      <c r="B59" s="305">
        <f t="shared" si="0"/>
        <v>43647</v>
      </c>
      <c r="C59" s="307">
        <f t="shared" si="7"/>
        <v>11600282.809773423</v>
      </c>
      <c r="D59" s="307">
        <f t="shared" si="1"/>
        <v>68502.19681671372</v>
      </c>
      <c r="E59" s="308">
        <f t="shared" si="2"/>
        <v>0</v>
      </c>
      <c r="F59" s="307">
        <f t="shared" si="3"/>
        <v>68502.19681671372</v>
      </c>
      <c r="G59" s="307">
        <f t="shared" si="4"/>
        <v>27417.861865432853</v>
      </c>
      <c r="H59" s="307">
        <f t="shared" si="8"/>
        <v>41084.33495128087</v>
      </c>
      <c r="I59" s="307">
        <f t="shared" si="5"/>
        <v>11572864.94790799</v>
      </c>
      <c r="J59" s="307">
        <f>SUM($H$18:$H59)</f>
        <v>1805065.3942099635</v>
      </c>
    </row>
    <row r="60" spans="1:10" ht="12.75">
      <c r="A60" s="304">
        <f t="shared" si="6"/>
        <v>43</v>
      </c>
      <c r="B60" s="305">
        <f t="shared" si="0"/>
        <v>43678</v>
      </c>
      <c r="C60" s="307">
        <f t="shared" si="7"/>
        <v>11572864.94790799</v>
      </c>
      <c r="D60" s="307">
        <f t="shared" si="1"/>
        <v>68502.19681671372</v>
      </c>
      <c r="E60" s="308">
        <f t="shared" si="2"/>
        <v>0</v>
      </c>
      <c r="F60" s="307">
        <f t="shared" si="3"/>
        <v>68502.19681671372</v>
      </c>
      <c r="G60" s="307">
        <f t="shared" si="4"/>
        <v>27514.966792872925</v>
      </c>
      <c r="H60" s="307">
        <f t="shared" si="8"/>
        <v>40987.2300238408</v>
      </c>
      <c r="I60" s="307">
        <f t="shared" si="5"/>
        <v>11545349.981115118</v>
      </c>
      <c r="J60" s="307">
        <f>SUM($H$18:$H60)</f>
        <v>1846052.6242338044</v>
      </c>
    </row>
    <row r="61" spans="1:10" ht="12.75">
      <c r="A61" s="304">
        <f t="shared" si="6"/>
        <v>44</v>
      </c>
      <c r="B61" s="305">
        <f t="shared" si="0"/>
        <v>43709</v>
      </c>
      <c r="C61" s="307">
        <f t="shared" si="7"/>
        <v>11545349.981115118</v>
      </c>
      <c r="D61" s="307">
        <f t="shared" si="1"/>
        <v>68502.19681671372</v>
      </c>
      <c r="E61" s="308">
        <f t="shared" si="2"/>
        <v>0</v>
      </c>
      <c r="F61" s="307">
        <f t="shared" si="3"/>
        <v>68502.19681671372</v>
      </c>
      <c r="G61" s="307">
        <f t="shared" si="4"/>
        <v>27612.41563359768</v>
      </c>
      <c r="H61" s="307">
        <f t="shared" si="8"/>
        <v>40889.78118311604</v>
      </c>
      <c r="I61" s="307">
        <f t="shared" si="5"/>
        <v>11517737.56548152</v>
      </c>
      <c r="J61" s="307">
        <f>SUM($H$18:$H61)</f>
        <v>1886942.4054169205</v>
      </c>
    </row>
    <row r="62" spans="1:10" ht="12.75">
      <c r="A62" s="304">
        <f t="shared" si="6"/>
        <v>45</v>
      </c>
      <c r="B62" s="305">
        <f t="shared" si="0"/>
        <v>43739</v>
      </c>
      <c r="C62" s="307">
        <f t="shared" si="7"/>
        <v>11517737.56548152</v>
      </c>
      <c r="D62" s="307">
        <f t="shared" si="1"/>
        <v>68502.19681671372</v>
      </c>
      <c r="E62" s="308">
        <f t="shared" si="2"/>
        <v>0</v>
      </c>
      <c r="F62" s="307">
        <f t="shared" si="3"/>
        <v>68502.19681671372</v>
      </c>
      <c r="G62" s="307">
        <f t="shared" si="4"/>
        <v>27710.20960563334</v>
      </c>
      <c r="H62" s="307">
        <f t="shared" si="8"/>
        <v>40791.987211080384</v>
      </c>
      <c r="I62" s="307">
        <f t="shared" si="5"/>
        <v>11490027.355875885</v>
      </c>
      <c r="J62" s="307">
        <f>SUM($H$18:$H62)</f>
        <v>1927734.392628001</v>
      </c>
    </row>
    <row r="63" spans="1:10" ht="12.75">
      <c r="A63" s="304">
        <f t="shared" si="6"/>
        <v>46</v>
      </c>
      <c r="B63" s="305">
        <f t="shared" si="0"/>
        <v>43770</v>
      </c>
      <c r="C63" s="307">
        <f t="shared" si="7"/>
        <v>11490027.355875885</v>
      </c>
      <c r="D63" s="307">
        <f t="shared" si="1"/>
        <v>68502.19681671372</v>
      </c>
      <c r="E63" s="308">
        <f t="shared" si="2"/>
        <v>0</v>
      </c>
      <c r="F63" s="307">
        <f t="shared" si="3"/>
        <v>68502.19681671372</v>
      </c>
      <c r="G63" s="307">
        <f t="shared" si="4"/>
        <v>27808.349931319965</v>
      </c>
      <c r="H63" s="307">
        <f t="shared" si="8"/>
        <v>40693.84688539376</v>
      </c>
      <c r="I63" s="307">
        <f t="shared" si="5"/>
        <v>11462219.005944565</v>
      </c>
      <c r="J63" s="307">
        <f>SUM($H$18:$H63)</f>
        <v>1968428.239513395</v>
      </c>
    </row>
    <row r="64" spans="1:10" ht="12.75">
      <c r="A64" s="304">
        <f t="shared" si="6"/>
        <v>47</v>
      </c>
      <c r="B64" s="305">
        <f t="shared" si="0"/>
        <v>43800</v>
      </c>
      <c r="C64" s="307">
        <f t="shared" si="7"/>
        <v>11462219.005944565</v>
      </c>
      <c r="D64" s="307">
        <f t="shared" si="1"/>
        <v>68502.19681671372</v>
      </c>
      <c r="E64" s="308">
        <f t="shared" si="2"/>
        <v>0</v>
      </c>
      <c r="F64" s="307">
        <f t="shared" si="3"/>
        <v>68502.19681671372</v>
      </c>
      <c r="G64" s="307">
        <f t="shared" si="4"/>
        <v>27906.83783732672</v>
      </c>
      <c r="H64" s="307">
        <f t="shared" si="8"/>
        <v>40595.358979387005</v>
      </c>
      <c r="I64" s="307">
        <f t="shared" si="5"/>
        <v>11434312.168107238</v>
      </c>
      <c r="J64" s="307">
        <f>SUM($H$18:$H64)</f>
        <v>2009023.5984927819</v>
      </c>
    </row>
    <row r="65" spans="1:10" ht="12.75">
      <c r="A65" s="304">
        <f t="shared" si="6"/>
        <v>48</v>
      </c>
      <c r="B65" s="305">
        <f t="shared" si="0"/>
        <v>43831</v>
      </c>
      <c r="C65" s="307">
        <f t="shared" si="7"/>
        <v>11434312.168107238</v>
      </c>
      <c r="D65" s="307">
        <f t="shared" si="1"/>
        <v>68502.19681671372</v>
      </c>
      <c r="E65" s="308">
        <f t="shared" si="2"/>
        <v>0</v>
      </c>
      <c r="F65" s="307">
        <f t="shared" si="3"/>
        <v>68502.19681671372</v>
      </c>
      <c r="G65" s="307">
        <f t="shared" si="4"/>
        <v>28005.674554667254</v>
      </c>
      <c r="H65" s="307">
        <f t="shared" si="8"/>
        <v>40496.52226204647</v>
      </c>
      <c r="I65" s="307">
        <f t="shared" si="5"/>
        <v>11406306.493552571</v>
      </c>
      <c r="J65" s="307">
        <f>SUM($H$18:$H65)</f>
        <v>2049520.1207548284</v>
      </c>
    </row>
    <row r="66" spans="1:10" ht="12.75">
      <c r="A66" s="304">
        <f t="shared" si="6"/>
        <v>49</v>
      </c>
      <c r="B66" s="305">
        <f t="shared" si="0"/>
        <v>43862</v>
      </c>
      <c r="C66" s="307">
        <f t="shared" si="7"/>
        <v>11406306.493552571</v>
      </c>
      <c r="D66" s="307">
        <f t="shared" si="1"/>
        <v>68502.19681671372</v>
      </c>
      <c r="E66" s="308">
        <f t="shared" si="2"/>
        <v>0</v>
      </c>
      <c r="F66" s="307">
        <f t="shared" si="3"/>
        <v>68502.19681671372</v>
      </c>
      <c r="G66" s="307">
        <f t="shared" si="4"/>
        <v>28104.861318715033</v>
      </c>
      <c r="H66" s="307">
        <f t="shared" si="8"/>
        <v>40397.33549799869</v>
      </c>
      <c r="I66" s="307">
        <f t="shared" si="5"/>
        <v>11378201.632233856</v>
      </c>
      <c r="J66" s="307">
        <f>SUM($H$18:$H66)</f>
        <v>2089917.456252827</v>
      </c>
    </row>
    <row r="67" spans="1:10" ht="12.75">
      <c r="A67" s="304">
        <f t="shared" si="6"/>
        <v>50</v>
      </c>
      <c r="B67" s="305">
        <f t="shared" si="0"/>
        <v>43891</v>
      </c>
      <c r="C67" s="307">
        <f t="shared" si="7"/>
        <v>11378201.632233856</v>
      </c>
      <c r="D67" s="307">
        <f t="shared" si="1"/>
        <v>68502.19681671372</v>
      </c>
      <c r="E67" s="308">
        <f t="shared" si="2"/>
        <v>0</v>
      </c>
      <c r="F67" s="307">
        <f t="shared" si="3"/>
        <v>68502.19681671372</v>
      </c>
      <c r="G67" s="307">
        <f t="shared" si="4"/>
        <v>28204.399369218816</v>
      </c>
      <c r="H67" s="307">
        <f t="shared" si="8"/>
        <v>40297.79744749491</v>
      </c>
      <c r="I67" s="307">
        <f t="shared" si="5"/>
        <v>11349997.232864637</v>
      </c>
      <c r="J67" s="307">
        <f>SUM($H$18:$H67)</f>
        <v>2130215.253700322</v>
      </c>
    </row>
    <row r="68" spans="1:10" ht="12.75">
      <c r="A68" s="304">
        <f t="shared" si="6"/>
        <v>51</v>
      </c>
      <c r="B68" s="305">
        <f t="shared" si="0"/>
        <v>43922</v>
      </c>
      <c r="C68" s="307">
        <f t="shared" si="7"/>
        <v>11349997.232864637</v>
      </c>
      <c r="D68" s="307">
        <f t="shared" si="1"/>
        <v>68502.19681671372</v>
      </c>
      <c r="E68" s="308">
        <f t="shared" si="2"/>
        <v>0</v>
      </c>
      <c r="F68" s="307">
        <f t="shared" si="3"/>
        <v>68502.19681671372</v>
      </c>
      <c r="G68" s="307">
        <f t="shared" si="4"/>
        <v>28304.289950318132</v>
      </c>
      <c r="H68" s="307">
        <f t="shared" si="8"/>
        <v>40197.90686639559</v>
      </c>
      <c r="I68" s="307">
        <f t="shared" si="5"/>
        <v>11321692.942914318</v>
      </c>
      <c r="J68" s="307">
        <f>SUM($H$18:$H68)</f>
        <v>2170413.1605667174</v>
      </c>
    </row>
    <row r="69" spans="1:10" ht="12.75">
      <c r="A69" s="304">
        <f t="shared" si="6"/>
        <v>52</v>
      </c>
      <c r="B69" s="305">
        <f t="shared" si="0"/>
        <v>43952</v>
      </c>
      <c r="C69" s="307">
        <f t="shared" si="7"/>
        <v>11321692.942914318</v>
      </c>
      <c r="D69" s="307">
        <f t="shared" si="1"/>
        <v>68502.19681671372</v>
      </c>
      <c r="E69" s="308">
        <f t="shared" si="2"/>
        <v>0</v>
      </c>
      <c r="F69" s="307">
        <f t="shared" si="3"/>
        <v>68502.19681671372</v>
      </c>
      <c r="G69" s="307">
        <f t="shared" si="4"/>
        <v>28404.534310558847</v>
      </c>
      <c r="H69" s="307">
        <f t="shared" si="8"/>
        <v>40097.66250615488</v>
      </c>
      <c r="I69" s="307">
        <f t="shared" si="5"/>
        <v>11293288.40860376</v>
      </c>
      <c r="J69" s="307">
        <f>SUM($H$18:$H69)</f>
        <v>2210510.823072872</v>
      </c>
    </row>
    <row r="70" spans="1:10" ht="12.75">
      <c r="A70" s="304">
        <f t="shared" si="6"/>
        <v>53</v>
      </c>
      <c r="B70" s="305">
        <f t="shared" si="0"/>
        <v>43983</v>
      </c>
      <c r="C70" s="307">
        <f t="shared" si="7"/>
        <v>11293288.40860376</v>
      </c>
      <c r="D70" s="307">
        <f t="shared" si="1"/>
        <v>68502.19681671372</v>
      </c>
      <c r="E70" s="308">
        <f t="shared" si="2"/>
        <v>0</v>
      </c>
      <c r="F70" s="307">
        <f t="shared" si="3"/>
        <v>68502.19681671372</v>
      </c>
      <c r="G70" s="307">
        <f t="shared" si="4"/>
        <v>28505.133702908737</v>
      </c>
      <c r="H70" s="307">
        <f t="shared" si="8"/>
        <v>39997.06311380499</v>
      </c>
      <c r="I70" s="307">
        <f t="shared" si="5"/>
        <v>11264783.27490085</v>
      </c>
      <c r="J70" s="307">
        <f>SUM($H$18:$H70)</f>
        <v>2250507.886186677</v>
      </c>
    </row>
    <row r="71" spans="1:10" ht="12.75">
      <c r="A71" s="304">
        <f t="shared" si="6"/>
        <v>54</v>
      </c>
      <c r="B71" s="305">
        <f t="shared" si="0"/>
        <v>44013</v>
      </c>
      <c r="C71" s="307">
        <f t="shared" si="7"/>
        <v>11264783.27490085</v>
      </c>
      <c r="D71" s="307">
        <f t="shared" si="1"/>
        <v>68502.19681671372</v>
      </c>
      <c r="E71" s="308">
        <f t="shared" si="2"/>
        <v>0</v>
      </c>
      <c r="F71" s="307">
        <f t="shared" si="3"/>
        <v>68502.19681671372</v>
      </c>
      <c r="G71" s="307">
        <f t="shared" si="4"/>
        <v>28606.089384773215</v>
      </c>
      <c r="H71" s="307">
        <f t="shared" si="8"/>
        <v>39896.10743194051</v>
      </c>
      <c r="I71" s="307">
        <f t="shared" si="5"/>
        <v>11236177.185516076</v>
      </c>
      <c r="J71" s="307">
        <f>SUM($H$18:$H71)</f>
        <v>2290403.9936186178</v>
      </c>
    </row>
    <row r="72" spans="1:10" ht="12.75">
      <c r="A72" s="304">
        <f t="shared" si="6"/>
        <v>55</v>
      </c>
      <c r="B72" s="305">
        <f t="shared" si="0"/>
        <v>44044</v>
      </c>
      <c r="C72" s="307">
        <f t="shared" si="7"/>
        <v>11236177.185516076</v>
      </c>
      <c r="D72" s="307">
        <f t="shared" si="1"/>
        <v>68502.19681671372</v>
      </c>
      <c r="E72" s="308">
        <f t="shared" si="2"/>
        <v>0</v>
      </c>
      <c r="F72" s="307">
        <f t="shared" si="3"/>
        <v>68502.19681671372</v>
      </c>
      <c r="G72" s="307">
        <f t="shared" si="4"/>
        <v>28707.40261801095</v>
      </c>
      <c r="H72" s="307">
        <f t="shared" si="8"/>
        <v>39794.79419870277</v>
      </c>
      <c r="I72" s="307">
        <f t="shared" si="5"/>
        <v>11207469.782898065</v>
      </c>
      <c r="J72" s="307">
        <f>SUM($H$18:$H72)</f>
        <v>2330198.7878173203</v>
      </c>
    </row>
    <row r="73" spans="1:10" ht="12.75">
      <c r="A73" s="304">
        <f t="shared" si="6"/>
        <v>56</v>
      </c>
      <c r="B73" s="305">
        <f t="shared" si="0"/>
        <v>44075</v>
      </c>
      <c r="C73" s="307">
        <f t="shared" si="7"/>
        <v>11207469.782898065</v>
      </c>
      <c r="D73" s="307">
        <f t="shared" si="1"/>
        <v>68502.19681671372</v>
      </c>
      <c r="E73" s="308">
        <f t="shared" si="2"/>
        <v>0</v>
      </c>
      <c r="F73" s="307">
        <f t="shared" si="3"/>
        <v>68502.19681671372</v>
      </c>
      <c r="G73" s="307">
        <f t="shared" si="4"/>
        <v>28809.07466894974</v>
      </c>
      <c r="H73" s="307">
        <f t="shared" si="8"/>
        <v>39693.122147763985</v>
      </c>
      <c r="I73" s="307">
        <f t="shared" si="5"/>
        <v>11178660.708229115</v>
      </c>
      <c r="J73" s="307">
        <f>SUM($H$18:$H73)</f>
        <v>2369891.9099650844</v>
      </c>
    </row>
    <row r="74" spans="1:10" ht="12.75">
      <c r="A74" s="304">
        <f t="shared" si="6"/>
        <v>57</v>
      </c>
      <c r="B74" s="305">
        <f t="shared" si="0"/>
        <v>44105</v>
      </c>
      <c r="C74" s="307">
        <f t="shared" si="7"/>
        <v>11178660.708229115</v>
      </c>
      <c r="D74" s="307">
        <f t="shared" si="1"/>
        <v>68502.19681671372</v>
      </c>
      <c r="E74" s="308">
        <f t="shared" si="2"/>
        <v>0</v>
      </c>
      <c r="F74" s="307">
        <f t="shared" si="3"/>
        <v>68502.19681671372</v>
      </c>
      <c r="G74" s="307">
        <f t="shared" si="4"/>
        <v>28911.10680840227</v>
      </c>
      <c r="H74" s="307">
        <f t="shared" si="8"/>
        <v>39591.090008311454</v>
      </c>
      <c r="I74" s="307">
        <f t="shared" si="5"/>
        <v>11149749.601420714</v>
      </c>
      <c r="J74" s="307">
        <f>SUM($H$18:$H74)</f>
        <v>2409482.999973396</v>
      </c>
    </row>
    <row r="75" spans="1:10" ht="12.75">
      <c r="A75" s="304">
        <f t="shared" si="6"/>
        <v>58</v>
      </c>
      <c r="B75" s="305">
        <f t="shared" si="0"/>
        <v>44136</v>
      </c>
      <c r="C75" s="307">
        <f t="shared" si="7"/>
        <v>11149749.601420714</v>
      </c>
      <c r="D75" s="307">
        <f t="shared" si="1"/>
        <v>68502.19681671372</v>
      </c>
      <c r="E75" s="308">
        <f t="shared" si="2"/>
        <v>0</v>
      </c>
      <c r="F75" s="307">
        <f t="shared" si="3"/>
        <v>68502.19681671372</v>
      </c>
      <c r="G75" s="307">
        <f t="shared" si="4"/>
        <v>29013.500311682023</v>
      </c>
      <c r="H75" s="307">
        <f t="shared" si="8"/>
        <v>39488.6965050317</v>
      </c>
      <c r="I75" s="307">
        <f t="shared" si="5"/>
        <v>11120736.101109032</v>
      </c>
      <c r="J75" s="307">
        <f>SUM($H$18:$H75)</f>
        <v>2448971.6964784274</v>
      </c>
    </row>
    <row r="76" spans="1:10" ht="12.75">
      <c r="A76" s="304">
        <f t="shared" si="6"/>
        <v>59</v>
      </c>
      <c r="B76" s="305">
        <f t="shared" si="0"/>
        <v>44166</v>
      </c>
      <c r="C76" s="307">
        <f t="shared" si="7"/>
        <v>11120736.101109032</v>
      </c>
      <c r="D76" s="307">
        <f t="shared" si="1"/>
        <v>68502.19681671372</v>
      </c>
      <c r="E76" s="308">
        <f t="shared" si="2"/>
        <v>0</v>
      </c>
      <c r="F76" s="307">
        <f t="shared" si="3"/>
        <v>68502.19681671372</v>
      </c>
      <c r="G76" s="307">
        <f t="shared" si="4"/>
        <v>29116.25645861924</v>
      </c>
      <c r="H76" s="307">
        <f t="shared" si="8"/>
        <v>39385.940358094485</v>
      </c>
      <c r="I76" s="307">
        <f t="shared" si="5"/>
        <v>11091619.844650412</v>
      </c>
      <c r="J76" s="307">
        <f>SUM($H$18:$H76)</f>
        <v>2488357.636836522</v>
      </c>
    </row>
    <row r="77" spans="1:10" ht="12.75">
      <c r="A77" s="304">
        <f t="shared" si="6"/>
        <v>60</v>
      </c>
      <c r="B77" s="305">
        <f t="shared" si="0"/>
        <v>44197</v>
      </c>
      <c r="C77" s="307">
        <f t="shared" si="7"/>
        <v>11091619.844650412</v>
      </c>
      <c r="D77" s="307">
        <f t="shared" si="1"/>
        <v>68502.19681671372</v>
      </c>
      <c r="E77" s="308">
        <f t="shared" si="2"/>
        <v>0</v>
      </c>
      <c r="F77" s="307">
        <f t="shared" si="3"/>
        <v>68502.19681671372</v>
      </c>
      <c r="G77" s="307">
        <f t="shared" si="4"/>
        <v>29219.376533576848</v>
      </c>
      <c r="H77" s="307">
        <f t="shared" si="8"/>
        <v>39282.820283136876</v>
      </c>
      <c r="I77" s="307">
        <f t="shared" si="5"/>
        <v>11062400.468116835</v>
      </c>
      <c r="J77" s="307">
        <f>SUM($H$18:$H77)</f>
        <v>2527640.4571196586</v>
      </c>
    </row>
    <row r="78" spans="1:10" ht="12.75">
      <c r="A78" s="304">
        <f t="shared" si="6"/>
        <v>61</v>
      </c>
      <c r="B78" s="305">
        <f t="shared" si="0"/>
        <v>44228</v>
      </c>
      <c r="C78" s="307">
        <f t="shared" si="7"/>
        <v>11062400.468116835</v>
      </c>
      <c r="D78" s="307">
        <f t="shared" si="1"/>
        <v>68502.19681671372</v>
      </c>
      <c r="E78" s="308">
        <f t="shared" si="2"/>
        <v>0</v>
      </c>
      <c r="F78" s="307">
        <f t="shared" si="3"/>
        <v>68502.19681671372</v>
      </c>
      <c r="G78" s="307">
        <f t="shared" si="4"/>
        <v>29322.8618254666</v>
      </c>
      <c r="H78" s="307">
        <f t="shared" si="8"/>
        <v>39179.334991247124</v>
      </c>
      <c r="I78" s="307">
        <f t="shared" si="5"/>
        <v>11033077.606291369</v>
      </c>
      <c r="J78" s="307">
        <f>SUM($H$18:$H78)</f>
        <v>2566819.7921109055</v>
      </c>
    </row>
    <row r="79" spans="1:10" ht="12.75">
      <c r="A79" s="304">
        <f t="shared" si="6"/>
        <v>62</v>
      </c>
      <c r="B79" s="305">
        <f t="shared" si="0"/>
        <v>44256</v>
      </c>
      <c r="C79" s="307">
        <f t="shared" si="7"/>
        <v>11033077.606291369</v>
      </c>
      <c r="D79" s="307">
        <f t="shared" si="1"/>
        <v>68502.19681671372</v>
      </c>
      <c r="E79" s="308">
        <f t="shared" si="2"/>
        <v>0</v>
      </c>
      <c r="F79" s="307">
        <f t="shared" si="3"/>
        <v>68502.19681671372</v>
      </c>
      <c r="G79" s="307">
        <f t="shared" si="4"/>
        <v>29426.713627765123</v>
      </c>
      <c r="H79" s="307">
        <f t="shared" si="8"/>
        <v>39075.4831889486</v>
      </c>
      <c r="I79" s="307">
        <f t="shared" si="5"/>
        <v>11003650.892663604</v>
      </c>
      <c r="J79" s="307">
        <f>SUM($H$18:$H79)</f>
        <v>2605895.275299854</v>
      </c>
    </row>
    <row r="80" spans="1:10" ht="12.75">
      <c r="A80" s="304">
        <f t="shared" si="6"/>
        <v>63</v>
      </c>
      <c r="B80" s="305">
        <f t="shared" si="0"/>
        <v>44287</v>
      </c>
      <c r="C80" s="307">
        <f t="shared" si="7"/>
        <v>11003650.892663604</v>
      </c>
      <c r="D80" s="307">
        <f t="shared" si="1"/>
        <v>68502.19681671372</v>
      </c>
      <c r="E80" s="308">
        <f t="shared" si="2"/>
        <v>0</v>
      </c>
      <c r="F80" s="307">
        <f t="shared" si="3"/>
        <v>68502.19681671372</v>
      </c>
      <c r="G80" s="307">
        <f t="shared" si="4"/>
        <v>29530.933238530124</v>
      </c>
      <c r="H80" s="307">
        <f t="shared" si="8"/>
        <v>38971.2635781836</v>
      </c>
      <c r="I80" s="307">
        <f t="shared" si="5"/>
        <v>10974119.959425073</v>
      </c>
      <c r="J80" s="307">
        <f>SUM($H$18:$H80)</f>
        <v>2644866.5388780376</v>
      </c>
    </row>
    <row r="81" spans="1:10" ht="12.75">
      <c r="A81" s="304">
        <f t="shared" si="6"/>
        <v>64</v>
      </c>
      <c r="B81" s="305">
        <f t="shared" si="0"/>
        <v>44317</v>
      </c>
      <c r="C81" s="307">
        <f t="shared" si="7"/>
        <v>10974119.959425073</v>
      </c>
      <c r="D81" s="307">
        <f t="shared" si="1"/>
        <v>68502.19681671372</v>
      </c>
      <c r="E81" s="308">
        <f t="shared" si="2"/>
        <v>0</v>
      </c>
      <c r="F81" s="307">
        <f t="shared" si="3"/>
        <v>68502.19681671372</v>
      </c>
      <c r="G81" s="307">
        <f t="shared" si="4"/>
        <v>29635.521960416583</v>
      </c>
      <c r="H81" s="307">
        <f t="shared" si="8"/>
        <v>38866.67485629714</v>
      </c>
      <c r="I81" s="307">
        <f t="shared" si="5"/>
        <v>10944484.437464656</v>
      </c>
      <c r="J81" s="307">
        <f>SUM($H$18:$H81)</f>
        <v>2683733.213734335</v>
      </c>
    </row>
    <row r="82" spans="1:10" ht="12.75">
      <c r="A82" s="304">
        <f t="shared" si="6"/>
        <v>65</v>
      </c>
      <c r="B82" s="305">
        <f aca="true" t="shared" si="9" ref="B82:B145">IF(Pay_Num_3&lt;&gt;"",DATE(YEAR(Loan_Start_3),MONTH(Loan_Start_3)+(Pay_Num_3)*12/Num_Pmt_Per_Year_3,DAY(Loan_Start_3)),"")</f>
        <v>44348</v>
      </c>
      <c r="C82" s="307">
        <f t="shared" si="7"/>
        <v>10944484.437464656</v>
      </c>
      <c r="D82" s="307">
        <f aca="true" t="shared" si="10" ref="D82:D145">IF(Pay_Num_3&lt;&gt;"",Scheduled_Monthly_Payment_3,"")</f>
        <v>68502.19681671372</v>
      </c>
      <c r="E82" s="308">
        <f aca="true" t="shared" si="11" ref="E82:E145">IF(AND(Pay_Num_3&lt;&gt;"",Sched_Pay_3+Scheduled_Extra_Payments_3&lt;Beg_Bal_3),Scheduled_Extra_Payments_3,IF(AND(Pay_Num_3&lt;&gt;"",Beg_Bal_3-Sched_Pay_3&gt;0),Beg_Bal_3-Sched_Pay_3,IF(Pay_Num_3&lt;&gt;"",0,"")))</f>
        <v>0</v>
      </c>
      <c r="F82" s="307">
        <f aca="true" t="shared" si="12" ref="F82:F145">IF(AND(Pay_Num_3&lt;&gt;"",Sched_Pay_3+Extra_Pay_3&lt;Beg_Bal_3),Sched_Pay_3+Extra_Pay_3,IF(Pay_Num_3&lt;&gt;"",Beg_Bal_3,""))</f>
        <v>68502.19681671372</v>
      </c>
      <c r="G82" s="307">
        <f aca="true" t="shared" si="13" ref="G82:G145">IF(Pay_Num_3&lt;&gt;"",Total_Pay_3-Int_3,"")</f>
        <v>29740.48110069306</v>
      </c>
      <c r="H82" s="307">
        <f t="shared" si="8"/>
        <v>38761.71571602066</v>
      </c>
      <c r="I82" s="307">
        <f aca="true" t="shared" si="14" ref="I82:I145">IF(AND(Pay_Num_3&lt;&gt;"",Sched_Pay_3+Extra_Pay_3&lt;Beg_Bal_3),Beg_Bal_3-Princ_3,IF(Pay_Num_3&lt;&gt;"",0,""))</f>
        <v>10914743.956363963</v>
      </c>
      <c r="J82" s="307">
        <f>SUM($H$18:$H82)</f>
        <v>2722494.9294503555</v>
      </c>
    </row>
    <row r="83" spans="1:10" ht="12.75">
      <c r="A83" s="304">
        <f aca="true" t="shared" si="15" ref="A83:A146">IF(Values_Entered_3,A82+1,"")</f>
        <v>66</v>
      </c>
      <c r="B83" s="305">
        <f t="shared" si="9"/>
        <v>44378</v>
      </c>
      <c r="C83" s="307">
        <f aca="true" t="shared" si="16" ref="C83:C146">IF(Pay_Num_3&lt;&gt;"",I82,"")</f>
        <v>10914743.956363963</v>
      </c>
      <c r="D83" s="307">
        <f t="shared" si="10"/>
        <v>68502.19681671372</v>
      </c>
      <c r="E83" s="308">
        <f t="shared" si="11"/>
        <v>0</v>
      </c>
      <c r="F83" s="307">
        <f t="shared" si="12"/>
        <v>68502.19681671372</v>
      </c>
      <c r="G83" s="307">
        <f t="shared" si="13"/>
        <v>29845.811971258016</v>
      </c>
      <c r="H83" s="307">
        <f aca="true" t="shared" si="17" ref="H83:H146">IF(Pay_Num_3&lt;&gt;"",Beg_Bal_3*Interest_Rate_3/Num_Pmt_Per_Year_3,"")</f>
        <v>38656.38484545571</v>
      </c>
      <c r="I83" s="307">
        <f t="shared" si="14"/>
        <v>10884898.144392705</v>
      </c>
      <c r="J83" s="307">
        <f>SUM($H$18:$H83)</f>
        <v>2761151.314295811</v>
      </c>
    </row>
    <row r="84" spans="1:10" ht="12.75">
      <c r="A84" s="304">
        <f t="shared" si="15"/>
        <v>67</v>
      </c>
      <c r="B84" s="305">
        <f t="shared" si="9"/>
        <v>44409</v>
      </c>
      <c r="C84" s="307">
        <f t="shared" si="16"/>
        <v>10884898.144392705</v>
      </c>
      <c r="D84" s="307">
        <f t="shared" si="10"/>
        <v>68502.19681671372</v>
      </c>
      <c r="E84" s="308">
        <f t="shared" si="11"/>
        <v>0</v>
      </c>
      <c r="F84" s="307">
        <f t="shared" si="12"/>
        <v>68502.19681671372</v>
      </c>
      <c r="G84" s="307">
        <f t="shared" si="13"/>
        <v>29951.515888656228</v>
      </c>
      <c r="H84" s="307">
        <f t="shared" si="17"/>
        <v>38550.680928057496</v>
      </c>
      <c r="I84" s="307">
        <f t="shared" si="14"/>
        <v>10854946.628504049</v>
      </c>
      <c r="J84" s="307">
        <f>SUM($H$18:$H84)</f>
        <v>2799701.9952238686</v>
      </c>
    </row>
    <row r="85" spans="1:10" ht="12.75">
      <c r="A85" s="304">
        <f t="shared" si="15"/>
        <v>68</v>
      </c>
      <c r="B85" s="305">
        <f t="shared" si="9"/>
        <v>44440</v>
      </c>
      <c r="C85" s="307">
        <f t="shared" si="16"/>
        <v>10854946.628504049</v>
      </c>
      <c r="D85" s="307">
        <f t="shared" si="10"/>
        <v>68502.19681671372</v>
      </c>
      <c r="E85" s="308">
        <f t="shared" si="11"/>
        <v>0</v>
      </c>
      <c r="F85" s="307">
        <f t="shared" si="12"/>
        <v>68502.19681671372</v>
      </c>
      <c r="G85" s="307">
        <f t="shared" si="13"/>
        <v>30057.59417409522</v>
      </c>
      <c r="H85" s="307">
        <f t="shared" si="17"/>
        <v>38444.602642618505</v>
      </c>
      <c r="I85" s="307">
        <f t="shared" si="14"/>
        <v>10824889.034329955</v>
      </c>
      <c r="J85" s="307">
        <f>SUM($H$18:$H85)</f>
        <v>2838146.597866487</v>
      </c>
    </row>
    <row r="86" spans="1:10" ht="12.75">
      <c r="A86" s="304">
        <f t="shared" si="15"/>
        <v>69</v>
      </c>
      <c r="B86" s="305">
        <f t="shared" si="9"/>
        <v>44470</v>
      </c>
      <c r="C86" s="307">
        <f t="shared" si="16"/>
        <v>10824889.034329955</v>
      </c>
      <c r="D86" s="307">
        <f t="shared" si="10"/>
        <v>68502.19681671372</v>
      </c>
      <c r="E86" s="308">
        <f t="shared" si="11"/>
        <v>0</v>
      </c>
      <c r="F86" s="307">
        <f t="shared" si="12"/>
        <v>68502.19681671372</v>
      </c>
      <c r="G86" s="307">
        <f t="shared" si="13"/>
        <v>30164.0481534618</v>
      </c>
      <c r="H86" s="307">
        <f t="shared" si="17"/>
        <v>38338.14866325192</v>
      </c>
      <c r="I86" s="307">
        <f t="shared" si="14"/>
        <v>10794724.986176493</v>
      </c>
      <c r="J86" s="307">
        <f>SUM($H$18:$H86)</f>
        <v>2876484.7465297394</v>
      </c>
    </row>
    <row r="87" spans="1:10" ht="12.75">
      <c r="A87" s="304">
        <f t="shared" si="15"/>
        <v>70</v>
      </c>
      <c r="B87" s="305">
        <f t="shared" si="9"/>
        <v>44501</v>
      </c>
      <c r="C87" s="307">
        <f t="shared" si="16"/>
        <v>10794724.986176493</v>
      </c>
      <c r="D87" s="307">
        <f t="shared" si="10"/>
        <v>68502.19681671372</v>
      </c>
      <c r="E87" s="308">
        <f t="shared" si="11"/>
        <v>0</v>
      </c>
      <c r="F87" s="307">
        <f t="shared" si="12"/>
        <v>68502.19681671372</v>
      </c>
      <c r="G87" s="307">
        <f t="shared" si="13"/>
        <v>30270.87915733864</v>
      </c>
      <c r="H87" s="307">
        <f t="shared" si="17"/>
        <v>38231.31765937508</v>
      </c>
      <c r="I87" s="307">
        <f t="shared" si="14"/>
        <v>10764454.107019154</v>
      </c>
      <c r="J87" s="307">
        <f>SUM($H$18:$H87)</f>
        <v>2914716.0641891146</v>
      </c>
    </row>
    <row r="88" spans="1:10" ht="12.75">
      <c r="A88" s="304">
        <f t="shared" si="15"/>
        <v>71</v>
      </c>
      <c r="B88" s="305">
        <f t="shared" si="9"/>
        <v>44531</v>
      </c>
      <c r="C88" s="307">
        <f t="shared" si="16"/>
        <v>10764454.107019154</v>
      </c>
      <c r="D88" s="307">
        <f t="shared" si="10"/>
        <v>68502.19681671372</v>
      </c>
      <c r="E88" s="308">
        <f t="shared" si="11"/>
        <v>0</v>
      </c>
      <c r="F88" s="307">
        <f t="shared" si="12"/>
        <v>68502.19681671372</v>
      </c>
      <c r="G88" s="307">
        <f t="shared" si="13"/>
        <v>30378.088521020887</v>
      </c>
      <c r="H88" s="307">
        <f t="shared" si="17"/>
        <v>38124.10829569284</v>
      </c>
      <c r="I88" s="307">
        <f t="shared" si="14"/>
        <v>10734076.018498134</v>
      </c>
      <c r="J88" s="307">
        <f>SUM($H$18:$H88)</f>
        <v>2952840.1724848077</v>
      </c>
    </row>
    <row r="89" spans="1:10" ht="12.75">
      <c r="A89" s="304">
        <f t="shared" si="15"/>
        <v>72</v>
      </c>
      <c r="B89" s="305">
        <f t="shared" si="9"/>
        <v>44562</v>
      </c>
      <c r="C89" s="307">
        <f t="shared" si="16"/>
        <v>10734076.018498134</v>
      </c>
      <c r="D89" s="307">
        <f t="shared" si="10"/>
        <v>68502.19681671372</v>
      </c>
      <c r="E89" s="308">
        <f t="shared" si="11"/>
        <v>0</v>
      </c>
      <c r="F89" s="307">
        <f t="shared" si="12"/>
        <v>68502.19681671372</v>
      </c>
      <c r="G89" s="307">
        <f t="shared" si="13"/>
        <v>30485.67758453283</v>
      </c>
      <c r="H89" s="307">
        <f t="shared" si="17"/>
        <v>38016.51923218089</v>
      </c>
      <c r="I89" s="307">
        <f t="shared" si="14"/>
        <v>10703590.340913601</v>
      </c>
      <c r="J89" s="307">
        <f>SUM($H$18:$H89)</f>
        <v>2990856.6917169886</v>
      </c>
    </row>
    <row r="90" spans="1:10" ht="12.75">
      <c r="A90" s="304">
        <f t="shared" si="15"/>
        <v>73</v>
      </c>
      <c r="B90" s="305">
        <f t="shared" si="9"/>
        <v>44593</v>
      </c>
      <c r="C90" s="307">
        <f t="shared" si="16"/>
        <v>10703590.340913601</v>
      </c>
      <c r="D90" s="307">
        <f t="shared" si="10"/>
        <v>68502.19681671372</v>
      </c>
      <c r="E90" s="308">
        <f t="shared" si="11"/>
        <v>0</v>
      </c>
      <c r="F90" s="307">
        <f t="shared" si="12"/>
        <v>68502.19681671372</v>
      </c>
      <c r="G90" s="307">
        <f t="shared" si="13"/>
        <v>30593.647692644714</v>
      </c>
      <c r="H90" s="307">
        <f t="shared" si="17"/>
        <v>37908.54912406901</v>
      </c>
      <c r="I90" s="307">
        <f t="shared" si="14"/>
        <v>10672996.693220956</v>
      </c>
      <c r="J90" s="307">
        <f>SUM($H$18:$H90)</f>
        <v>3028765.2408410576</v>
      </c>
    </row>
    <row r="91" spans="1:10" ht="12.75">
      <c r="A91" s="304">
        <f t="shared" si="15"/>
        <v>74</v>
      </c>
      <c r="B91" s="305">
        <f t="shared" si="9"/>
        <v>44621</v>
      </c>
      <c r="C91" s="307">
        <f t="shared" si="16"/>
        <v>10672996.693220956</v>
      </c>
      <c r="D91" s="307">
        <f t="shared" si="10"/>
        <v>68502.19681671372</v>
      </c>
      <c r="E91" s="308">
        <f t="shared" si="11"/>
        <v>0</v>
      </c>
      <c r="F91" s="307">
        <f t="shared" si="12"/>
        <v>68502.19681671372</v>
      </c>
      <c r="G91" s="307">
        <f t="shared" si="13"/>
        <v>30702.0001948895</v>
      </c>
      <c r="H91" s="307">
        <f t="shared" si="17"/>
        <v>37800.19662182422</v>
      </c>
      <c r="I91" s="307">
        <f t="shared" si="14"/>
        <v>10642294.693026066</v>
      </c>
      <c r="J91" s="307">
        <f>SUM($H$18:$H91)</f>
        <v>3066565.4374628817</v>
      </c>
    </row>
    <row r="92" spans="1:10" ht="12.75">
      <c r="A92" s="304">
        <f t="shared" si="15"/>
        <v>75</v>
      </c>
      <c r="B92" s="305">
        <f t="shared" si="9"/>
        <v>44652</v>
      </c>
      <c r="C92" s="307">
        <f t="shared" si="16"/>
        <v>10642294.693026066</v>
      </c>
      <c r="D92" s="307">
        <f t="shared" si="10"/>
        <v>68502.19681671372</v>
      </c>
      <c r="E92" s="308">
        <f t="shared" si="11"/>
        <v>0</v>
      </c>
      <c r="F92" s="307">
        <f t="shared" si="12"/>
        <v>68502.19681671372</v>
      </c>
      <c r="G92" s="307">
        <f t="shared" si="13"/>
        <v>30810.736445579736</v>
      </c>
      <c r="H92" s="307">
        <f t="shared" si="17"/>
        <v>37691.46037113399</v>
      </c>
      <c r="I92" s="307">
        <f t="shared" si="14"/>
        <v>10611483.956580486</v>
      </c>
      <c r="J92" s="307">
        <f>SUM($H$18:$H92)</f>
        <v>3104256.8978340155</v>
      </c>
    </row>
    <row r="93" spans="1:10" ht="12.75">
      <c r="A93" s="304">
        <f t="shared" si="15"/>
        <v>76</v>
      </c>
      <c r="B93" s="305">
        <f t="shared" si="9"/>
        <v>44682</v>
      </c>
      <c r="C93" s="307">
        <f t="shared" si="16"/>
        <v>10611483.956580486</v>
      </c>
      <c r="D93" s="307">
        <f t="shared" si="10"/>
        <v>68502.19681671372</v>
      </c>
      <c r="E93" s="308">
        <f t="shared" si="11"/>
        <v>0</v>
      </c>
      <c r="F93" s="307">
        <f t="shared" si="12"/>
        <v>68502.19681671372</v>
      </c>
      <c r="G93" s="307">
        <f t="shared" si="13"/>
        <v>30919.857803824496</v>
      </c>
      <c r="H93" s="307">
        <f t="shared" si="17"/>
        <v>37582.33901288923</v>
      </c>
      <c r="I93" s="307">
        <f t="shared" si="14"/>
        <v>10580564.09877666</v>
      </c>
      <c r="J93" s="307">
        <f>SUM($H$18:$H93)</f>
        <v>3141839.2368469047</v>
      </c>
    </row>
    <row r="94" spans="1:10" ht="12.75">
      <c r="A94" s="304">
        <f t="shared" si="15"/>
        <v>77</v>
      </c>
      <c r="B94" s="305">
        <f t="shared" si="9"/>
        <v>44713</v>
      </c>
      <c r="C94" s="307">
        <f t="shared" si="16"/>
        <v>10580564.09877666</v>
      </c>
      <c r="D94" s="307">
        <f t="shared" si="10"/>
        <v>68502.19681671372</v>
      </c>
      <c r="E94" s="308">
        <f t="shared" si="11"/>
        <v>0</v>
      </c>
      <c r="F94" s="307">
        <f t="shared" si="12"/>
        <v>68502.19681671372</v>
      </c>
      <c r="G94" s="307">
        <f t="shared" si="13"/>
        <v>31029.365633546382</v>
      </c>
      <c r="H94" s="307">
        <f t="shared" si="17"/>
        <v>37472.83118316734</v>
      </c>
      <c r="I94" s="307">
        <f t="shared" si="14"/>
        <v>10549534.733143114</v>
      </c>
      <c r="J94" s="307">
        <f>SUM($H$18:$H94)</f>
        <v>3179312.068030072</v>
      </c>
    </row>
    <row r="95" spans="1:10" ht="12.75">
      <c r="A95" s="304">
        <f t="shared" si="15"/>
        <v>78</v>
      </c>
      <c r="B95" s="305">
        <f t="shared" si="9"/>
        <v>44743</v>
      </c>
      <c r="C95" s="307">
        <f t="shared" si="16"/>
        <v>10549534.733143114</v>
      </c>
      <c r="D95" s="307">
        <f t="shared" si="10"/>
        <v>68502.19681671372</v>
      </c>
      <c r="E95" s="308">
        <f t="shared" si="11"/>
        <v>0</v>
      </c>
      <c r="F95" s="307">
        <f t="shared" si="12"/>
        <v>68502.19681671372</v>
      </c>
      <c r="G95" s="307">
        <f t="shared" si="13"/>
        <v>31139.261303498526</v>
      </c>
      <c r="H95" s="307">
        <f t="shared" si="17"/>
        <v>37362.9355132152</v>
      </c>
      <c r="I95" s="307">
        <f t="shared" si="14"/>
        <v>10518395.471839614</v>
      </c>
      <c r="J95" s="307">
        <f>SUM($H$18:$H95)</f>
        <v>3216675.003543287</v>
      </c>
    </row>
    <row r="96" spans="1:10" ht="12.75">
      <c r="A96" s="304">
        <f t="shared" si="15"/>
        <v>79</v>
      </c>
      <c r="B96" s="305">
        <f t="shared" si="9"/>
        <v>44774</v>
      </c>
      <c r="C96" s="307">
        <f t="shared" si="16"/>
        <v>10518395.471839614</v>
      </c>
      <c r="D96" s="307">
        <f t="shared" si="10"/>
        <v>68502.19681671372</v>
      </c>
      <c r="E96" s="308">
        <f t="shared" si="11"/>
        <v>0</v>
      </c>
      <c r="F96" s="307">
        <f t="shared" si="12"/>
        <v>68502.19681671372</v>
      </c>
      <c r="G96" s="307">
        <f t="shared" si="13"/>
        <v>31249.546187281754</v>
      </c>
      <c r="H96" s="307">
        <f t="shared" si="17"/>
        <v>37252.65062943197</v>
      </c>
      <c r="I96" s="307">
        <f t="shared" si="14"/>
        <v>10487145.925652333</v>
      </c>
      <c r="J96" s="307">
        <f>SUM($H$18:$H96)</f>
        <v>3253927.654172719</v>
      </c>
    </row>
    <row r="97" spans="1:10" ht="12.75">
      <c r="A97" s="304">
        <f t="shared" si="15"/>
        <v>80</v>
      </c>
      <c r="B97" s="305">
        <f t="shared" si="9"/>
        <v>44805</v>
      </c>
      <c r="C97" s="307">
        <f t="shared" si="16"/>
        <v>10487145.925652333</v>
      </c>
      <c r="D97" s="307">
        <f t="shared" si="10"/>
        <v>68502.19681671372</v>
      </c>
      <c r="E97" s="308">
        <f t="shared" si="11"/>
        <v>0</v>
      </c>
      <c r="F97" s="307">
        <f t="shared" si="12"/>
        <v>68502.19681671372</v>
      </c>
      <c r="G97" s="307">
        <f t="shared" si="13"/>
        <v>31360.221663361714</v>
      </c>
      <c r="H97" s="307">
        <f t="shared" si="17"/>
        <v>37141.97515335201</v>
      </c>
      <c r="I97" s="307">
        <f t="shared" si="14"/>
        <v>10455785.703988971</v>
      </c>
      <c r="J97" s="307">
        <f>SUM($H$18:$H97)</f>
        <v>3291069.629326071</v>
      </c>
    </row>
    <row r="98" spans="1:10" ht="12.75">
      <c r="A98" s="304">
        <f t="shared" si="15"/>
        <v>81</v>
      </c>
      <c r="B98" s="305">
        <f t="shared" si="9"/>
        <v>44835</v>
      </c>
      <c r="C98" s="307">
        <f t="shared" si="16"/>
        <v>10455785.703988971</v>
      </c>
      <c r="D98" s="307">
        <f t="shared" si="10"/>
        <v>68502.19681671372</v>
      </c>
      <c r="E98" s="308">
        <f t="shared" si="11"/>
        <v>0</v>
      </c>
      <c r="F98" s="307">
        <f t="shared" si="12"/>
        <v>68502.19681671372</v>
      </c>
      <c r="G98" s="307">
        <f t="shared" si="13"/>
        <v>31471.289115086118</v>
      </c>
      <c r="H98" s="307">
        <f t="shared" si="17"/>
        <v>37030.907701627606</v>
      </c>
      <c r="I98" s="307">
        <f t="shared" si="14"/>
        <v>10424314.414873885</v>
      </c>
      <c r="J98" s="307">
        <f>SUM($H$18:$H98)</f>
        <v>3328100.537027699</v>
      </c>
    </row>
    <row r="99" spans="1:10" ht="12.75">
      <c r="A99" s="304">
        <f t="shared" si="15"/>
        <v>82</v>
      </c>
      <c r="B99" s="305">
        <f t="shared" si="9"/>
        <v>44866</v>
      </c>
      <c r="C99" s="307">
        <f t="shared" si="16"/>
        <v>10424314.414873885</v>
      </c>
      <c r="D99" s="307">
        <f t="shared" si="10"/>
        <v>68502.19681671372</v>
      </c>
      <c r="E99" s="308">
        <f t="shared" si="11"/>
        <v>0</v>
      </c>
      <c r="F99" s="307">
        <f t="shared" si="12"/>
        <v>68502.19681671372</v>
      </c>
      <c r="G99" s="307">
        <f t="shared" si="13"/>
        <v>31582.74993070204</v>
      </c>
      <c r="H99" s="307">
        <f t="shared" si="17"/>
        <v>36919.44688601168</v>
      </c>
      <c r="I99" s="307">
        <f t="shared" si="14"/>
        <v>10392731.664943183</v>
      </c>
      <c r="J99" s="307">
        <f>SUM($H$18:$H99)</f>
        <v>3365019.983913711</v>
      </c>
    </row>
    <row r="100" spans="1:10" ht="12.75">
      <c r="A100" s="304">
        <f t="shared" si="15"/>
        <v>83</v>
      </c>
      <c r="B100" s="305">
        <f t="shared" si="9"/>
        <v>44896</v>
      </c>
      <c r="C100" s="307">
        <f t="shared" si="16"/>
        <v>10392731.664943183</v>
      </c>
      <c r="D100" s="307">
        <f t="shared" si="10"/>
        <v>68502.19681671372</v>
      </c>
      <c r="E100" s="308">
        <f t="shared" si="11"/>
        <v>0</v>
      </c>
      <c r="F100" s="307">
        <f t="shared" si="12"/>
        <v>68502.19681671372</v>
      </c>
      <c r="G100" s="307">
        <f t="shared" si="13"/>
        <v>31694.605503373277</v>
      </c>
      <c r="H100" s="307">
        <f t="shared" si="17"/>
        <v>36807.59131334045</v>
      </c>
      <c r="I100" s="307">
        <f t="shared" si="14"/>
        <v>10361037.05943981</v>
      </c>
      <c r="J100" s="307">
        <f>SUM($H$18:$H100)</f>
        <v>3401827.575227051</v>
      </c>
    </row>
    <row r="101" spans="1:10" ht="12.75">
      <c r="A101" s="304">
        <f t="shared" si="15"/>
        <v>84</v>
      </c>
      <c r="B101" s="305">
        <f t="shared" si="9"/>
        <v>44927</v>
      </c>
      <c r="C101" s="307">
        <f t="shared" si="16"/>
        <v>10361037.05943981</v>
      </c>
      <c r="D101" s="307">
        <f t="shared" si="10"/>
        <v>68502.19681671372</v>
      </c>
      <c r="E101" s="308">
        <f t="shared" si="11"/>
        <v>0</v>
      </c>
      <c r="F101" s="307">
        <f t="shared" si="12"/>
        <v>68502.19681671372</v>
      </c>
      <c r="G101" s="307">
        <f t="shared" si="13"/>
        <v>31806.857231197726</v>
      </c>
      <c r="H101" s="307">
        <f t="shared" si="17"/>
        <v>36695.339585516</v>
      </c>
      <c r="I101" s="307">
        <f t="shared" si="14"/>
        <v>10329230.202208612</v>
      </c>
      <c r="J101" s="307">
        <f>SUM($H$18:$H101)</f>
        <v>3438522.914812567</v>
      </c>
    </row>
    <row r="102" spans="1:10" ht="12.75">
      <c r="A102" s="304">
        <f t="shared" si="15"/>
        <v>85</v>
      </c>
      <c r="B102" s="305">
        <f t="shared" si="9"/>
        <v>44958</v>
      </c>
      <c r="C102" s="307">
        <f t="shared" si="16"/>
        <v>10329230.202208612</v>
      </c>
      <c r="D102" s="307">
        <f t="shared" si="10"/>
        <v>68502.19681671372</v>
      </c>
      <c r="E102" s="308">
        <f t="shared" si="11"/>
        <v>0</v>
      </c>
      <c r="F102" s="307">
        <f t="shared" si="12"/>
        <v>68502.19681671372</v>
      </c>
      <c r="G102" s="307">
        <f t="shared" si="13"/>
        <v>31919.506517224887</v>
      </c>
      <c r="H102" s="307">
        <f t="shared" si="17"/>
        <v>36582.69029948884</v>
      </c>
      <c r="I102" s="307">
        <f t="shared" si="14"/>
        <v>10297310.695691388</v>
      </c>
      <c r="J102" s="307">
        <f>SUM($H$18:$H102)</f>
        <v>3475105.6051120562</v>
      </c>
    </row>
    <row r="103" spans="1:10" ht="12.75">
      <c r="A103" s="304">
        <f t="shared" si="15"/>
        <v>86</v>
      </c>
      <c r="B103" s="305">
        <f t="shared" si="9"/>
        <v>44986</v>
      </c>
      <c r="C103" s="307">
        <f t="shared" si="16"/>
        <v>10297310.695691388</v>
      </c>
      <c r="D103" s="307">
        <f t="shared" si="10"/>
        <v>68502.19681671372</v>
      </c>
      <c r="E103" s="308">
        <f t="shared" si="11"/>
        <v>0</v>
      </c>
      <c r="F103" s="307">
        <f t="shared" si="12"/>
        <v>68502.19681671372</v>
      </c>
      <c r="G103" s="307">
        <f t="shared" si="13"/>
        <v>32032.55476947339</v>
      </c>
      <c r="H103" s="307">
        <f t="shared" si="17"/>
        <v>36469.64204724033</v>
      </c>
      <c r="I103" s="307">
        <f t="shared" si="14"/>
        <v>10265278.140921915</v>
      </c>
      <c r="J103" s="307">
        <f>SUM($H$18:$H103)</f>
        <v>3511575.2471592966</v>
      </c>
    </row>
    <row r="104" spans="1:10" ht="12.75">
      <c r="A104" s="304">
        <f t="shared" si="15"/>
        <v>87</v>
      </c>
      <c r="B104" s="305">
        <f t="shared" si="9"/>
        <v>45017</v>
      </c>
      <c r="C104" s="307">
        <f t="shared" si="16"/>
        <v>10265278.140921915</v>
      </c>
      <c r="D104" s="307">
        <f t="shared" si="10"/>
        <v>68502.19681671372</v>
      </c>
      <c r="E104" s="308">
        <f t="shared" si="11"/>
        <v>0</v>
      </c>
      <c r="F104" s="307">
        <f t="shared" si="12"/>
        <v>68502.19681671372</v>
      </c>
      <c r="G104" s="307">
        <f t="shared" si="13"/>
        <v>32146.003400948604</v>
      </c>
      <c r="H104" s="307">
        <f t="shared" si="17"/>
        <v>36356.19341576512</v>
      </c>
      <c r="I104" s="307">
        <f t="shared" si="14"/>
        <v>10233132.137520967</v>
      </c>
      <c r="J104" s="307">
        <f>SUM($H$18:$H104)</f>
        <v>3547931.440575062</v>
      </c>
    </row>
    <row r="105" spans="1:10" ht="12.75">
      <c r="A105" s="304">
        <f t="shared" si="15"/>
        <v>88</v>
      </c>
      <c r="B105" s="305">
        <f t="shared" si="9"/>
        <v>45047</v>
      </c>
      <c r="C105" s="307">
        <f t="shared" si="16"/>
        <v>10233132.137520967</v>
      </c>
      <c r="D105" s="307">
        <f t="shared" si="10"/>
        <v>68502.19681671372</v>
      </c>
      <c r="E105" s="308">
        <f t="shared" si="11"/>
        <v>0</v>
      </c>
      <c r="F105" s="307">
        <f t="shared" si="12"/>
        <v>68502.19681671372</v>
      </c>
      <c r="G105" s="307">
        <f t="shared" si="13"/>
        <v>32259.8538296603</v>
      </c>
      <c r="H105" s="307">
        <f t="shared" si="17"/>
        <v>36242.342987053424</v>
      </c>
      <c r="I105" s="307">
        <f t="shared" si="14"/>
        <v>10200872.283691308</v>
      </c>
      <c r="J105" s="307">
        <f>SUM($H$18:$H105)</f>
        <v>3584173.7835621154</v>
      </c>
    </row>
    <row r="106" spans="1:10" ht="12.75">
      <c r="A106" s="304">
        <f t="shared" si="15"/>
        <v>89</v>
      </c>
      <c r="B106" s="305">
        <f t="shared" si="9"/>
        <v>45078</v>
      </c>
      <c r="C106" s="307">
        <f t="shared" si="16"/>
        <v>10200872.283691308</v>
      </c>
      <c r="D106" s="307">
        <f t="shared" si="10"/>
        <v>68502.19681671372</v>
      </c>
      <c r="E106" s="308">
        <f t="shared" si="11"/>
        <v>0</v>
      </c>
      <c r="F106" s="307">
        <f t="shared" si="12"/>
        <v>68502.19681671372</v>
      </c>
      <c r="G106" s="307">
        <f t="shared" si="13"/>
        <v>32374.10747864034</v>
      </c>
      <c r="H106" s="307">
        <f t="shared" si="17"/>
        <v>36128.08933807338</v>
      </c>
      <c r="I106" s="307">
        <f t="shared" si="14"/>
        <v>10168498.176212667</v>
      </c>
      <c r="J106" s="307">
        <f>SUM($H$18:$H106)</f>
        <v>3620301.872900189</v>
      </c>
    </row>
    <row r="107" spans="1:10" ht="12.75">
      <c r="A107" s="304">
        <f t="shared" si="15"/>
        <v>90</v>
      </c>
      <c r="B107" s="305">
        <f t="shared" si="9"/>
        <v>45108</v>
      </c>
      <c r="C107" s="307">
        <f t="shared" si="16"/>
        <v>10168498.176212667</v>
      </c>
      <c r="D107" s="307">
        <f t="shared" si="10"/>
        <v>68502.19681671372</v>
      </c>
      <c r="E107" s="308">
        <f t="shared" si="11"/>
        <v>0</v>
      </c>
      <c r="F107" s="307">
        <f t="shared" si="12"/>
        <v>68502.19681671372</v>
      </c>
      <c r="G107" s="307">
        <f t="shared" si="13"/>
        <v>32488.765775960528</v>
      </c>
      <c r="H107" s="307">
        <f t="shared" si="17"/>
        <v>36013.431040753196</v>
      </c>
      <c r="I107" s="307">
        <f t="shared" si="14"/>
        <v>10136009.410436707</v>
      </c>
      <c r="J107" s="307">
        <f>SUM($H$18:$H107)</f>
        <v>3656315.303940942</v>
      </c>
    </row>
    <row r="108" spans="1:10" ht="12.75">
      <c r="A108" s="304">
        <f t="shared" si="15"/>
        <v>91</v>
      </c>
      <c r="B108" s="305">
        <f t="shared" si="9"/>
        <v>45139</v>
      </c>
      <c r="C108" s="307">
        <f t="shared" si="16"/>
        <v>10136009.410436707</v>
      </c>
      <c r="D108" s="307">
        <f t="shared" si="10"/>
        <v>68502.19681671372</v>
      </c>
      <c r="E108" s="308">
        <f t="shared" si="11"/>
        <v>0</v>
      </c>
      <c r="F108" s="307">
        <f t="shared" si="12"/>
        <v>68502.19681671372</v>
      </c>
      <c r="G108" s="307">
        <f t="shared" si="13"/>
        <v>32603.830154750387</v>
      </c>
      <c r="H108" s="307">
        <f t="shared" si="17"/>
        <v>35898.36666196334</v>
      </c>
      <c r="I108" s="307">
        <f t="shared" si="14"/>
        <v>10103405.580281956</v>
      </c>
      <c r="J108" s="307">
        <f>SUM($H$18:$H108)</f>
        <v>3692213.6706029056</v>
      </c>
    </row>
    <row r="109" spans="1:10" ht="12.75">
      <c r="A109" s="304">
        <f t="shared" si="15"/>
        <v>92</v>
      </c>
      <c r="B109" s="305">
        <f t="shared" si="9"/>
        <v>45170</v>
      </c>
      <c r="C109" s="307">
        <f t="shared" si="16"/>
        <v>10103405.580281956</v>
      </c>
      <c r="D109" s="307">
        <f t="shared" si="10"/>
        <v>68502.19681671372</v>
      </c>
      <c r="E109" s="308">
        <f t="shared" si="11"/>
        <v>0</v>
      </c>
      <c r="F109" s="307">
        <f t="shared" si="12"/>
        <v>68502.19681671372</v>
      </c>
      <c r="G109" s="307">
        <f t="shared" si="13"/>
        <v>32719.302053215128</v>
      </c>
      <c r="H109" s="307">
        <f t="shared" si="17"/>
        <v>35782.894763498596</v>
      </c>
      <c r="I109" s="307">
        <f t="shared" si="14"/>
        <v>10070686.278228741</v>
      </c>
      <c r="J109" s="307">
        <f>SUM($H$18:$H109)</f>
        <v>3727996.565366404</v>
      </c>
    </row>
    <row r="110" spans="1:10" ht="12.75">
      <c r="A110" s="304">
        <f t="shared" si="15"/>
        <v>93</v>
      </c>
      <c r="B110" s="305">
        <f t="shared" si="9"/>
        <v>45200</v>
      </c>
      <c r="C110" s="307">
        <f t="shared" si="16"/>
        <v>10070686.278228741</v>
      </c>
      <c r="D110" s="307">
        <f t="shared" si="10"/>
        <v>68502.19681671372</v>
      </c>
      <c r="E110" s="308">
        <f t="shared" si="11"/>
        <v>0</v>
      </c>
      <c r="F110" s="307">
        <f t="shared" si="12"/>
        <v>68502.19681671372</v>
      </c>
      <c r="G110" s="307">
        <f t="shared" si="13"/>
        <v>32835.1829146536</v>
      </c>
      <c r="H110" s="307">
        <f t="shared" si="17"/>
        <v>35667.01390206013</v>
      </c>
      <c r="I110" s="307">
        <f t="shared" si="14"/>
        <v>10037851.095314087</v>
      </c>
      <c r="J110" s="307">
        <f>SUM($H$18:$H110)</f>
        <v>3763663.5792684644</v>
      </c>
    </row>
    <row r="111" spans="1:10" ht="12.75">
      <c r="A111" s="304">
        <f t="shared" si="15"/>
        <v>94</v>
      </c>
      <c r="B111" s="305">
        <f t="shared" si="9"/>
        <v>45231</v>
      </c>
      <c r="C111" s="307">
        <f t="shared" si="16"/>
        <v>10037851.095314087</v>
      </c>
      <c r="D111" s="307">
        <f t="shared" si="10"/>
        <v>68502.19681671372</v>
      </c>
      <c r="E111" s="308">
        <f t="shared" si="11"/>
        <v>0</v>
      </c>
      <c r="F111" s="307">
        <f t="shared" si="12"/>
        <v>68502.19681671372</v>
      </c>
      <c r="G111" s="307">
        <f t="shared" si="13"/>
        <v>32951.47418747633</v>
      </c>
      <c r="H111" s="307">
        <f t="shared" si="17"/>
        <v>35550.722629237396</v>
      </c>
      <c r="I111" s="307">
        <f t="shared" si="14"/>
        <v>10004899.62112661</v>
      </c>
      <c r="J111" s="307">
        <f>SUM($H$18:$H111)</f>
        <v>3799214.301897702</v>
      </c>
    </row>
    <row r="112" spans="1:10" ht="12.75">
      <c r="A112" s="304">
        <f t="shared" si="15"/>
        <v>95</v>
      </c>
      <c r="B112" s="305">
        <f t="shared" si="9"/>
        <v>45261</v>
      </c>
      <c r="C112" s="307">
        <f t="shared" si="16"/>
        <v>10004899.62112661</v>
      </c>
      <c r="D112" s="307">
        <f t="shared" si="10"/>
        <v>68502.19681671372</v>
      </c>
      <c r="E112" s="308">
        <f t="shared" si="11"/>
        <v>0</v>
      </c>
      <c r="F112" s="307">
        <f t="shared" si="12"/>
        <v>68502.19681671372</v>
      </c>
      <c r="G112" s="307">
        <f t="shared" si="13"/>
        <v>33068.17732522364</v>
      </c>
      <c r="H112" s="307">
        <f t="shared" si="17"/>
        <v>35434.019491490086</v>
      </c>
      <c r="I112" s="307">
        <f t="shared" si="14"/>
        <v>9971831.443801386</v>
      </c>
      <c r="J112" s="307">
        <f>SUM($H$18:$H112)</f>
        <v>3834648.321389192</v>
      </c>
    </row>
    <row r="113" spans="1:10" ht="12.75">
      <c r="A113" s="304">
        <f t="shared" si="15"/>
        <v>96</v>
      </c>
      <c r="B113" s="305">
        <f t="shared" si="9"/>
        <v>45292</v>
      </c>
      <c r="C113" s="307">
        <f t="shared" si="16"/>
        <v>9971831.443801386</v>
      </c>
      <c r="D113" s="307">
        <f t="shared" si="10"/>
        <v>68502.19681671372</v>
      </c>
      <c r="E113" s="308">
        <f t="shared" si="11"/>
        <v>0</v>
      </c>
      <c r="F113" s="307">
        <f t="shared" si="12"/>
        <v>68502.19681671372</v>
      </c>
      <c r="G113" s="307">
        <f t="shared" si="13"/>
        <v>33185.29378658381</v>
      </c>
      <c r="H113" s="307">
        <f t="shared" si="17"/>
        <v>35316.90303012991</v>
      </c>
      <c r="I113" s="307">
        <f t="shared" si="14"/>
        <v>9938646.150014803</v>
      </c>
      <c r="J113" s="307">
        <f>SUM($H$18:$H113)</f>
        <v>3869965.224419322</v>
      </c>
    </row>
    <row r="114" spans="1:10" ht="12.75">
      <c r="A114" s="304">
        <f t="shared" si="15"/>
        <v>97</v>
      </c>
      <c r="B114" s="305">
        <f t="shared" si="9"/>
        <v>45323</v>
      </c>
      <c r="C114" s="307">
        <f t="shared" si="16"/>
        <v>9938646.150014803</v>
      </c>
      <c r="D114" s="307">
        <f t="shared" si="10"/>
        <v>68502.19681671372</v>
      </c>
      <c r="E114" s="308">
        <f t="shared" si="11"/>
        <v>0</v>
      </c>
      <c r="F114" s="307">
        <f t="shared" si="12"/>
        <v>68502.19681671372</v>
      </c>
      <c r="G114" s="307">
        <f t="shared" si="13"/>
        <v>33302.8250354113</v>
      </c>
      <c r="H114" s="307">
        <f t="shared" si="17"/>
        <v>35199.37178130243</v>
      </c>
      <c r="I114" s="307">
        <f t="shared" si="14"/>
        <v>9905343.324979391</v>
      </c>
      <c r="J114" s="307">
        <f>SUM($H$18:$H114)</f>
        <v>3905164.5962006245</v>
      </c>
    </row>
    <row r="115" spans="1:10" ht="12.75">
      <c r="A115" s="304">
        <f t="shared" si="15"/>
        <v>98</v>
      </c>
      <c r="B115" s="305">
        <f t="shared" si="9"/>
        <v>45352</v>
      </c>
      <c r="C115" s="307">
        <f t="shared" si="16"/>
        <v>9905343.324979391</v>
      </c>
      <c r="D115" s="307">
        <f t="shared" si="10"/>
        <v>68502.19681671372</v>
      </c>
      <c r="E115" s="308">
        <f t="shared" si="11"/>
        <v>0</v>
      </c>
      <c r="F115" s="307">
        <f t="shared" si="12"/>
        <v>68502.19681671372</v>
      </c>
      <c r="G115" s="307">
        <f t="shared" si="13"/>
        <v>33420.77254074504</v>
      </c>
      <c r="H115" s="307">
        <f t="shared" si="17"/>
        <v>35081.42427596868</v>
      </c>
      <c r="I115" s="307">
        <f t="shared" si="14"/>
        <v>9871922.552438647</v>
      </c>
      <c r="J115" s="307">
        <f>SUM($H$18:$H115)</f>
        <v>3940246.020476593</v>
      </c>
    </row>
    <row r="116" spans="1:10" ht="12.75">
      <c r="A116" s="304">
        <f t="shared" si="15"/>
        <v>99</v>
      </c>
      <c r="B116" s="305">
        <f t="shared" si="9"/>
        <v>45383</v>
      </c>
      <c r="C116" s="307">
        <f t="shared" si="16"/>
        <v>9871922.552438647</v>
      </c>
      <c r="D116" s="307">
        <f t="shared" si="10"/>
        <v>68502.19681671372</v>
      </c>
      <c r="E116" s="308">
        <f t="shared" si="11"/>
        <v>0</v>
      </c>
      <c r="F116" s="307">
        <f t="shared" si="12"/>
        <v>68502.19681671372</v>
      </c>
      <c r="G116" s="307">
        <f t="shared" si="13"/>
        <v>33539.13777682685</v>
      </c>
      <c r="H116" s="307">
        <f t="shared" si="17"/>
        <v>34963.05903988687</v>
      </c>
      <c r="I116" s="307">
        <f t="shared" si="14"/>
        <v>9838383.41466182</v>
      </c>
      <c r="J116" s="307">
        <f>SUM($H$18:$H116)</f>
        <v>3975209.07951648</v>
      </c>
    </row>
    <row r="117" spans="1:10" ht="12.75">
      <c r="A117" s="304">
        <f t="shared" si="15"/>
        <v>100</v>
      </c>
      <c r="B117" s="305">
        <f t="shared" si="9"/>
        <v>45413</v>
      </c>
      <c r="C117" s="307">
        <f t="shared" si="16"/>
        <v>9838383.41466182</v>
      </c>
      <c r="D117" s="307">
        <f t="shared" si="10"/>
        <v>68502.19681671372</v>
      </c>
      <c r="E117" s="308">
        <f t="shared" si="11"/>
        <v>0</v>
      </c>
      <c r="F117" s="307">
        <f t="shared" si="12"/>
        <v>68502.19681671372</v>
      </c>
      <c r="G117" s="307">
        <f t="shared" si="13"/>
        <v>33657.92222311978</v>
      </c>
      <c r="H117" s="307">
        <f t="shared" si="17"/>
        <v>34844.274593593946</v>
      </c>
      <c r="I117" s="307">
        <f t="shared" si="14"/>
        <v>9804725.4924387</v>
      </c>
      <c r="J117" s="307">
        <f>SUM($H$18:$H117)</f>
        <v>4010053.354110074</v>
      </c>
    </row>
    <row r="118" spans="1:10" ht="12.75">
      <c r="A118" s="304">
        <f t="shared" si="15"/>
        <v>101</v>
      </c>
      <c r="B118" s="305">
        <f t="shared" si="9"/>
        <v>45444</v>
      </c>
      <c r="C118" s="307">
        <f t="shared" si="16"/>
        <v>9804725.4924387</v>
      </c>
      <c r="D118" s="307">
        <f t="shared" si="10"/>
        <v>68502.19681671372</v>
      </c>
      <c r="E118" s="308">
        <f t="shared" si="11"/>
        <v>0</v>
      </c>
      <c r="F118" s="307">
        <f t="shared" si="12"/>
        <v>68502.19681671372</v>
      </c>
      <c r="G118" s="307">
        <f t="shared" si="13"/>
        <v>33777.127364326654</v>
      </c>
      <c r="H118" s="307">
        <f t="shared" si="17"/>
        <v>34725.06945238707</v>
      </c>
      <c r="I118" s="307">
        <f t="shared" si="14"/>
        <v>9770948.365074374</v>
      </c>
      <c r="J118" s="307">
        <f>SUM($H$18:$H118)</f>
        <v>4044778.4235624615</v>
      </c>
    </row>
    <row r="119" spans="1:10" ht="12.75">
      <c r="A119" s="304">
        <f t="shared" si="15"/>
        <v>102</v>
      </c>
      <c r="B119" s="305">
        <f t="shared" si="9"/>
        <v>45474</v>
      </c>
      <c r="C119" s="307">
        <f t="shared" si="16"/>
        <v>9770948.365074374</v>
      </c>
      <c r="D119" s="307">
        <f t="shared" si="10"/>
        <v>68502.19681671372</v>
      </c>
      <c r="E119" s="308">
        <f t="shared" si="11"/>
        <v>0</v>
      </c>
      <c r="F119" s="307">
        <f t="shared" si="12"/>
        <v>68502.19681671372</v>
      </c>
      <c r="G119" s="307">
        <f t="shared" si="13"/>
        <v>33896.75469040865</v>
      </c>
      <c r="H119" s="307">
        <f t="shared" si="17"/>
        <v>34605.442126305075</v>
      </c>
      <c r="I119" s="307">
        <f t="shared" si="14"/>
        <v>9737051.610383965</v>
      </c>
      <c r="J119" s="307">
        <f>SUM($H$18:$H119)</f>
        <v>4079383.8656887664</v>
      </c>
    </row>
    <row r="120" spans="1:10" ht="12.75">
      <c r="A120" s="304">
        <f t="shared" si="15"/>
        <v>103</v>
      </c>
      <c r="B120" s="305">
        <f t="shared" si="9"/>
        <v>45505</v>
      </c>
      <c r="C120" s="307">
        <f t="shared" si="16"/>
        <v>9737051.610383965</v>
      </c>
      <c r="D120" s="307">
        <f t="shared" si="10"/>
        <v>68502.19681671372</v>
      </c>
      <c r="E120" s="308">
        <f t="shared" si="11"/>
        <v>0</v>
      </c>
      <c r="F120" s="307">
        <f t="shared" si="12"/>
        <v>68502.19681671372</v>
      </c>
      <c r="G120" s="307">
        <f t="shared" si="13"/>
        <v>34016.80569660385</v>
      </c>
      <c r="H120" s="307">
        <f t="shared" si="17"/>
        <v>34485.391120109874</v>
      </c>
      <c r="I120" s="307">
        <f t="shared" si="14"/>
        <v>9703034.80468736</v>
      </c>
      <c r="J120" s="307">
        <f>SUM($H$18:$H120)</f>
        <v>4113869.256808876</v>
      </c>
    </row>
    <row r="121" spans="1:10" ht="12.75">
      <c r="A121" s="304">
        <f t="shared" si="15"/>
        <v>104</v>
      </c>
      <c r="B121" s="305">
        <f t="shared" si="9"/>
        <v>45536</v>
      </c>
      <c r="C121" s="307">
        <f t="shared" si="16"/>
        <v>9703034.80468736</v>
      </c>
      <c r="D121" s="307">
        <f t="shared" si="10"/>
        <v>68502.19681671372</v>
      </c>
      <c r="E121" s="308">
        <f t="shared" si="11"/>
        <v>0</v>
      </c>
      <c r="F121" s="307">
        <f t="shared" si="12"/>
        <v>68502.19681671372</v>
      </c>
      <c r="G121" s="307">
        <f t="shared" si="13"/>
        <v>34137.28188344598</v>
      </c>
      <c r="H121" s="307">
        <f t="shared" si="17"/>
        <v>34364.91493326774</v>
      </c>
      <c r="I121" s="307">
        <f t="shared" si="14"/>
        <v>9668897.522803914</v>
      </c>
      <c r="J121" s="307">
        <f>SUM($H$18:$H121)</f>
        <v>4148234.1717421436</v>
      </c>
    </row>
    <row r="122" spans="1:10" ht="12.75">
      <c r="A122" s="304">
        <f t="shared" si="15"/>
        <v>105</v>
      </c>
      <c r="B122" s="305">
        <f t="shared" si="9"/>
        <v>45566</v>
      </c>
      <c r="C122" s="307">
        <f t="shared" si="16"/>
        <v>9668897.522803914</v>
      </c>
      <c r="D122" s="307">
        <f t="shared" si="10"/>
        <v>68502.19681671372</v>
      </c>
      <c r="E122" s="308">
        <f t="shared" si="11"/>
        <v>0</v>
      </c>
      <c r="F122" s="307">
        <f t="shared" si="12"/>
        <v>68502.19681671372</v>
      </c>
      <c r="G122" s="307">
        <f t="shared" si="13"/>
        <v>34258.184756783194</v>
      </c>
      <c r="H122" s="307">
        <f t="shared" si="17"/>
        <v>34244.01205993053</v>
      </c>
      <c r="I122" s="307">
        <f t="shared" si="14"/>
        <v>9634639.33804713</v>
      </c>
      <c r="J122" s="307">
        <f>SUM($H$18:$H122)</f>
        <v>4182478.1838020743</v>
      </c>
    </row>
    <row r="123" spans="1:10" ht="12.75">
      <c r="A123" s="304">
        <f t="shared" si="15"/>
        <v>106</v>
      </c>
      <c r="B123" s="305">
        <f t="shared" si="9"/>
        <v>45597</v>
      </c>
      <c r="C123" s="307">
        <f t="shared" si="16"/>
        <v>9634639.33804713</v>
      </c>
      <c r="D123" s="307">
        <f t="shared" si="10"/>
        <v>68502.19681671372</v>
      </c>
      <c r="E123" s="308">
        <f t="shared" si="11"/>
        <v>0</v>
      </c>
      <c r="F123" s="307">
        <f t="shared" si="12"/>
        <v>68502.19681671372</v>
      </c>
      <c r="G123" s="307">
        <f t="shared" si="13"/>
        <v>34379.5158277968</v>
      </c>
      <c r="H123" s="307">
        <f t="shared" si="17"/>
        <v>34122.68098891692</v>
      </c>
      <c r="I123" s="307">
        <f t="shared" si="14"/>
        <v>9600259.822219333</v>
      </c>
      <c r="J123" s="307">
        <f>SUM($H$18:$H123)</f>
        <v>4216600.864790991</v>
      </c>
    </row>
    <row r="124" spans="1:10" ht="12.75">
      <c r="A124" s="304">
        <f t="shared" si="15"/>
        <v>107</v>
      </c>
      <c r="B124" s="305">
        <f t="shared" si="9"/>
        <v>45627</v>
      </c>
      <c r="C124" s="307">
        <f t="shared" si="16"/>
        <v>9600259.822219333</v>
      </c>
      <c r="D124" s="307">
        <f t="shared" si="10"/>
        <v>68502.19681671372</v>
      </c>
      <c r="E124" s="308">
        <f t="shared" si="11"/>
        <v>0</v>
      </c>
      <c r="F124" s="307">
        <f t="shared" si="12"/>
        <v>68502.19681671372</v>
      </c>
      <c r="G124" s="307">
        <f t="shared" si="13"/>
        <v>34501.27661302025</v>
      </c>
      <c r="H124" s="307">
        <f t="shared" si="17"/>
        <v>34000.92020369347</v>
      </c>
      <c r="I124" s="307">
        <f t="shared" si="14"/>
        <v>9565758.545606313</v>
      </c>
      <c r="J124" s="307">
        <f>SUM($H$18:$H124)</f>
        <v>4250601.784994684</v>
      </c>
    </row>
    <row r="125" spans="1:10" ht="12.75">
      <c r="A125" s="304">
        <f t="shared" si="15"/>
        <v>108</v>
      </c>
      <c r="B125" s="305">
        <f t="shared" si="9"/>
        <v>45658</v>
      </c>
      <c r="C125" s="307">
        <f t="shared" si="16"/>
        <v>9565758.545606313</v>
      </c>
      <c r="D125" s="307">
        <f t="shared" si="10"/>
        <v>68502.19681671372</v>
      </c>
      <c r="E125" s="308">
        <f t="shared" si="11"/>
        <v>0</v>
      </c>
      <c r="F125" s="307">
        <f t="shared" si="12"/>
        <v>68502.19681671372</v>
      </c>
      <c r="G125" s="307">
        <f t="shared" si="13"/>
        <v>34623.46863435803</v>
      </c>
      <c r="H125" s="307">
        <f t="shared" si="17"/>
        <v>33878.72818235569</v>
      </c>
      <c r="I125" s="307">
        <f t="shared" si="14"/>
        <v>9531135.076971956</v>
      </c>
      <c r="J125" s="307">
        <f>SUM($H$18:$H125)</f>
        <v>4284480.51317704</v>
      </c>
    </row>
    <row r="126" spans="1:10" ht="12.75">
      <c r="A126" s="304">
        <f t="shared" si="15"/>
        <v>109</v>
      </c>
      <c r="B126" s="305">
        <f t="shared" si="9"/>
        <v>45689</v>
      </c>
      <c r="C126" s="307">
        <f t="shared" si="16"/>
        <v>9531135.076971956</v>
      </c>
      <c r="D126" s="307">
        <f t="shared" si="10"/>
        <v>68502.19681671372</v>
      </c>
      <c r="E126" s="308">
        <f t="shared" si="11"/>
        <v>0</v>
      </c>
      <c r="F126" s="307">
        <f t="shared" si="12"/>
        <v>68502.19681671372</v>
      </c>
      <c r="G126" s="307">
        <f t="shared" si="13"/>
        <v>34746.09341910471</v>
      </c>
      <c r="H126" s="307">
        <f t="shared" si="17"/>
        <v>33756.10339760901</v>
      </c>
      <c r="I126" s="307">
        <f t="shared" si="14"/>
        <v>9496388.98355285</v>
      </c>
      <c r="J126" s="307">
        <f>SUM($H$18:$H126)</f>
        <v>4318236.616574649</v>
      </c>
    </row>
    <row r="127" spans="1:10" ht="12.75">
      <c r="A127" s="304">
        <f t="shared" si="15"/>
        <v>110</v>
      </c>
      <c r="B127" s="305">
        <f t="shared" si="9"/>
        <v>45717</v>
      </c>
      <c r="C127" s="307">
        <f t="shared" si="16"/>
        <v>9496388.98355285</v>
      </c>
      <c r="D127" s="307">
        <f t="shared" si="10"/>
        <v>68502.19681671372</v>
      </c>
      <c r="E127" s="308">
        <f t="shared" si="11"/>
        <v>0</v>
      </c>
      <c r="F127" s="307">
        <f t="shared" si="12"/>
        <v>68502.19681671372</v>
      </c>
      <c r="G127" s="307">
        <f t="shared" si="13"/>
        <v>34869.152499964046</v>
      </c>
      <c r="H127" s="307">
        <f t="shared" si="17"/>
        <v>33633.04431674968</v>
      </c>
      <c r="I127" s="307">
        <f t="shared" si="14"/>
        <v>9461519.831052886</v>
      </c>
      <c r="J127" s="307">
        <f>SUM($H$18:$H127)</f>
        <v>4351869.660891399</v>
      </c>
    </row>
    <row r="128" spans="1:10" ht="12.75">
      <c r="A128" s="304">
        <f t="shared" si="15"/>
        <v>111</v>
      </c>
      <c r="B128" s="305">
        <f t="shared" si="9"/>
        <v>45748</v>
      </c>
      <c r="C128" s="307">
        <f t="shared" si="16"/>
        <v>9461519.831052886</v>
      </c>
      <c r="D128" s="307">
        <f t="shared" si="10"/>
        <v>68502.19681671372</v>
      </c>
      <c r="E128" s="308">
        <f t="shared" si="11"/>
        <v>0</v>
      </c>
      <c r="F128" s="307">
        <f t="shared" si="12"/>
        <v>68502.19681671372</v>
      </c>
      <c r="G128" s="307">
        <f t="shared" si="13"/>
        <v>34992.64741506808</v>
      </c>
      <c r="H128" s="307">
        <f t="shared" si="17"/>
        <v>33509.54940164564</v>
      </c>
      <c r="I128" s="307">
        <f t="shared" si="14"/>
        <v>9426527.183637818</v>
      </c>
      <c r="J128" s="307">
        <f>SUM($H$18:$H128)</f>
        <v>4385379.210293044</v>
      </c>
    </row>
    <row r="129" spans="1:10" ht="12.75">
      <c r="A129" s="304">
        <f t="shared" si="15"/>
        <v>112</v>
      </c>
      <c r="B129" s="305">
        <f t="shared" si="9"/>
        <v>45778</v>
      </c>
      <c r="C129" s="307">
        <f t="shared" si="16"/>
        <v>9426527.183637818</v>
      </c>
      <c r="D129" s="307">
        <f t="shared" si="10"/>
        <v>68502.19681671372</v>
      </c>
      <c r="E129" s="308">
        <f t="shared" si="11"/>
        <v>0</v>
      </c>
      <c r="F129" s="307">
        <f t="shared" si="12"/>
        <v>68502.19681671372</v>
      </c>
      <c r="G129" s="307">
        <f t="shared" si="13"/>
        <v>35116.57970799645</v>
      </c>
      <c r="H129" s="307">
        <f t="shared" si="17"/>
        <v>33385.61710871728</v>
      </c>
      <c r="I129" s="307">
        <f t="shared" si="14"/>
        <v>9391410.603929821</v>
      </c>
      <c r="J129" s="307">
        <f>SUM($H$18:$H129)</f>
        <v>4418764.827401762</v>
      </c>
    </row>
    <row r="130" spans="1:10" ht="12.75">
      <c r="A130" s="304">
        <f t="shared" si="15"/>
        <v>113</v>
      </c>
      <c r="B130" s="305">
        <f t="shared" si="9"/>
        <v>45809</v>
      </c>
      <c r="C130" s="307">
        <f t="shared" si="16"/>
        <v>9391410.603929821</v>
      </c>
      <c r="D130" s="307">
        <f t="shared" si="10"/>
        <v>68502.19681671372</v>
      </c>
      <c r="E130" s="308">
        <f t="shared" si="11"/>
        <v>0</v>
      </c>
      <c r="F130" s="307">
        <f t="shared" si="12"/>
        <v>68502.19681671372</v>
      </c>
      <c r="G130" s="307">
        <f t="shared" si="13"/>
        <v>35240.9509277956</v>
      </c>
      <c r="H130" s="307">
        <f t="shared" si="17"/>
        <v>33261.24588891812</v>
      </c>
      <c r="I130" s="307">
        <f t="shared" si="14"/>
        <v>9356169.653002026</v>
      </c>
      <c r="J130" s="307">
        <f>SUM($H$18:$H130)</f>
        <v>4452026.07329068</v>
      </c>
    </row>
    <row r="131" spans="1:10" ht="12.75">
      <c r="A131" s="304">
        <f t="shared" si="15"/>
        <v>114</v>
      </c>
      <c r="B131" s="305">
        <f t="shared" si="9"/>
        <v>45839</v>
      </c>
      <c r="C131" s="307">
        <f t="shared" si="16"/>
        <v>9356169.653002026</v>
      </c>
      <c r="D131" s="307">
        <f t="shared" si="10"/>
        <v>68502.19681671372</v>
      </c>
      <c r="E131" s="308">
        <f t="shared" si="11"/>
        <v>0</v>
      </c>
      <c r="F131" s="307">
        <f t="shared" si="12"/>
        <v>68502.19681671372</v>
      </c>
      <c r="G131" s="307">
        <f t="shared" si="13"/>
        <v>35365.762628998214</v>
      </c>
      <c r="H131" s="307">
        <f t="shared" si="17"/>
        <v>33136.43418771551</v>
      </c>
      <c r="I131" s="307">
        <f t="shared" si="14"/>
        <v>9320803.890373027</v>
      </c>
      <c r="J131" s="307">
        <f>SUM($H$18:$H131)</f>
        <v>4485162.5074783955</v>
      </c>
    </row>
    <row r="132" spans="1:10" ht="12.75">
      <c r="A132" s="304">
        <f t="shared" si="15"/>
        <v>115</v>
      </c>
      <c r="B132" s="305">
        <f t="shared" si="9"/>
        <v>45870</v>
      </c>
      <c r="C132" s="307">
        <f t="shared" si="16"/>
        <v>9320803.890373027</v>
      </c>
      <c r="D132" s="307">
        <f t="shared" si="10"/>
        <v>68502.19681671372</v>
      </c>
      <c r="E132" s="308">
        <f t="shared" si="11"/>
        <v>0</v>
      </c>
      <c r="F132" s="307">
        <f t="shared" si="12"/>
        <v>68502.19681671372</v>
      </c>
      <c r="G132" s="307">
        <f t="shared" si="13"/>
        <v>35491.01637164258</v>
      </c>
      <c r="H132" s="307">
        <f t="shared" si="17"/>
        <v>33011.18044507114</v>
      </c>
      <c r="I132" s="307">
        <f t="shared" si="14"/>
        <v>9285312.874001384</v>
      </c>
      <c r="J132" s="307">
        <f>SUM($H$18:$H132)</f>
        <v>4518173.687923467</v>
      </c>
    </row>
    <row r="133" spans="1:10" ht="12.75">
      <c r="A133" s="304">
        <f t="shared" si="15"/>
        <v>116</v>
      </c>
      <c r="B133" s="305">
        <f t="shared" si="9"/>
        <v>45901</v>
      </c>
      <c r="C133" s="307">
        <f t="shared" si="16"/>
        <v>9285312.874001384</v>
      </c>
      <c r="D133" s="307">
        <f t="shared" si="10"/>
        <v>68502.19681671372</v>
      </c>
      <c r="E133" s="308">
        <f t="shared" si="11"/>
        <v>0</v>
      </c>
      <c r="F133" s="307">
        <f t="shared" si="12"/>
        <v>68502.19681671372</v>
      </c>
      <c r="G133" s="307">
        <f t="shared" si="13"/>
        <v>35616.71372129215</v>
      </c>
      <c r="H133" s="307">
        <f t="shared" si="17"/>
        <v>32885.48309542157</v>
      </c>
      <c r="I133" s="307">
        <f t="shared" si="14"/>
        <v>9249696.160280092</v>
      </c>
      <c r="J133" s="307">
        <f>SUM($H$18:$H133)</f>
        <v>4551059.171018888</v>
      </c>
    </row>
    <row r="134" spans="1:10" ht="12.75">
      <c r="A134" s="304">
        <f t="shared" si="15"/>
        <v>117</v>
      </c>
      <c r="B134" s="305">
        <f t="shared" si="9"/>
        <v>45931</v>
      </c>
      <c r="C134" s="307">
        <f t="shared" si="16"/>
        <v>9249696.160280092</v>
      </c>
      <c r="D134" s="307">
        <f t="shared" si="10"/>
        <v>68502.19681671372</v>
      </c>
      <c r="E134" s="308">
        <f t="shared" si="11"/>
        <v>0</v>
      </c>
      <c r="F134" s="307">
        <f t="shared" si="12"/>
        <v>68502.19681671372</v>
      </c>
      <c r="G134" s="307">
        <f t="shared" si="13"/>
        <v>35742.85624905507</v>
      </c>
      <c r="H134" s="307">
        <f t="shared" si="17"/>
        <v>32759.34056765866</v>
      </c>
      <c r="I134" s="307">
        <f t="shared" si="14"/>
        <v>9213953.304031037</v>
      </c>
      <c r="J134" s="307">
        <f>SUM($H$18:$H134)</f>
        <v>4583818.511586547</v>
      </c>
    </row>
    <row r="135" spans="1:10" ht="12.75">
      <c r="A135" s="304">
        <f t="shared" si="15"/>
        <v>118</v>
      </c>
      <c r="B135" s="305">
        <f t="shared" si="9"/>
        <v>45962</v>
      </c>
      <c r="C135" s="307">
        <f t="shared" si="16"/>
        <v>9213953.304031037</v>
      </c>
      <c r="D135" s="307">
        <f t="shared" si="10"/>
        <v>68502.19681671372</v>
      </c>
      <c r="E135" s="308">
        <f t="shared" si="11"/>
        <v>0</v>
      </c>
      <c r="F135" s="307">
        <f t="shared" si="12"/>
        <v>68502.19681671372</v>
      </c>
      <c r="G135" s="307">
        <f t="shared" si="13"/>
        <v>35869.44553160379</v>
      </c>
      <c r="H135" s="307">
        <f t="shared" si="17"/>
        <v>32632.751285109927</v>
      </c>
      <c r="I135" s="307">
        <f t="shared" si="14"/>
        <v>9178083.858499434</v>
      </c>
      <c r="J135" s="307">
        <f>SUM($H$18:$H135)</f>
        <v>4616451.262871657</v>
      </c>
    </row>
    <row r="136" spans="1:10" ht="12.75">
      <c r="A136" s="304">
        <f t="shared" si="15"/>
        <v>119</v>
      </c>
      <c r="B136" s="305">
        <f t="shared" si="9"/>
        <v>45992</v>
      </c>
      <c r="C136" s="307">
        <f t="shared" si="16"/>
        <v>9178083.858499434</v>
      </c>
      <c r="D136" s="307">
        <f t="shared" si="10"/>
        <v>68502.19681671372</v>
      </c>
      <c r="E136" s="308">
        <f t="shared" si="11"/>
        <v>0</v>
      </c>
      <c r="F136" s="307">
        <f t="shared" si="12"/>
        <v>68502.19681671372</v>
      </c>
      <c r="G136" s="307">
        <f t="shared" si="13"/>
        <v>35996.48315119489</v>
      </c>
      <c r="H136" s="307">
        <f t="shared" si="17"/>
        <v>32505.713665518833</v>
      </c>
      <c r="I136" s="307">
        <f t="shared" si="14"/>
        <v>9142087.375348238</v>
      </c>
      <c r="J136" s="307">
        <f>SUM($H$18:$H136)</f>
        <v>4648956.9765371755</v>
      </c>
    </row>
    <row r="137" spans="1:10" ht="12.75">
      <c r="A137" s="304">
        <f t="shared" si="15"/>
        <v>120</v>
      </c>
      <c r="B137" s="305">
        <f t="shared" si="9"/>
        <v>46023</v>
      </c>
      <c r="C137" s="307">
        <f t="shared" si="16"/>
        <v>9142087.375348238</v>
      </c>
      <c r="D137" s="307">
        <f t="shared" si="10"/>
        <v>68502.19681671372</v>
      </c>
      <c r="E137" s="308">
        <f t="shared" si="11"/>
        <v>0</v>
      </c>
      <c r="F137" s="307">
        <f t="shared" si="12"/>
        <v>68502.19681671372</v>
      </c>
      <c r="G137" s="307">
        <f t="shared" si="13"/>
        <v>36123.97069568871</v>
      </c>
      <c r="H137" s="307">
        <f t="shared" si="17"/>
        <v>32378.226121025014</v>
      </c>
      <c r="I137" s="307">
        <f t="shared" si="14"/>
        <v>9105963.404652549</v>
      </c>
      <c r="J137" s="307">
        <f>SUM($H$18:$H137)</f>
        <v>4681335.202658201</v>
      </c>
    </row>
    <row r="138" spans="1:10" ht="12.75">
      <c r="A138" s="304">
        <f t="shared" si="15"/>
        <v>121</v>
      </c>
      <c r="B138" s="305">
        <f t="shared" si="9"/>
        <v>46054</v>
      </c>
      <c r="C138" s="307">
        <f t="shared" si="16"/>
        <v>9105963.404652549</v>
      </c>
      <c r="D138" s="307">
        <f t="shared" si="10"/>
        <v>68502.19681671372</v>
      </c>
      <c r="E138" s="308">
        <f t="shared" si="11"/>
        <v>0</v>
      </c>
      <c r="F138" s="307">
        <f t="shared" si="12"/>
        <v>68502.19681671372</v>
      </c>
      <c r="G138" s="307">
        <f t="shared" si="13"/>
        <v>36251.90975856928</v>
      </c>
      <c r="H138" s="307">
        <f t="shared" si="17"/>
        <v>32250.287058144448</v>
      </c>
      <c r="I138" s="307">
        <f t="shared" si="14"/>
        <v>9069711.49489398</v>
      </c>
      <c r="J138" s="307">
        <f>SUM($H$18:$H138)</f>
        <v>4713585.489716345</v>
      </c>
    </row>
    <row r="139" spans="1:10" ht="12.75">
      <c r="A139" s="304">
        <f t="shared" si="15"/>
        <v>122</v>
      </c>
      <c r="B139" s="305">
        <f t="shared" si="9"/>
        <v>46082</v>
      </c>
      <c r="C139" s="307">
        <f t="shared" si="16"/>
        <v>9069711.49489398</v>
      </c>
      <c r="D139" s="307">
        <f t="shared" si="10"/>
        <v>68502.19681671372</v>
      </c>
      <c r="E139" s="308">
        <f t="shared" si="11"/>
        <v>0</v>
      </c>
      <c r="F139" s="307">
        <f t="shared" si="12"/>
        <v>68502.19681671372</v>
      </c>
      <c r="G139" s="307">
        <f t="shared" si="13"/>
        <v>36380.301938964214</v>
      </c>
      <c r="H139" s="307">
        <f t="shared" si="17"/>
        <v>32121.894877749513</v>
      </c>
      <c r="I139" s="307">
        <f t="shared" si="14"/>
        <v>9033331.192955015</v>
      </c>
      <c r="J139" s="307">
        <f>SUM($H$18:$H139)</f>
        <v>4745707.384594095</v>
      </c>
    </row>
    <row r="140" spans="1:10" ht="12.75">
      <c r="A140" s="304">
        <f t="shared" si="15"/>
        <v>123</v>
      </c>
      <c r="B140" s="305">
        <f t="shared" si="9"/>
        <v>46113</v>
      </c>
      <c r="C140" s="307">
        <f t="shared" si="16"/>
        <v>9033331.192955015</v>
      </c>
      <c r="D140" s="307">
        <f t="shared" si="10"/>
        <v>68502.19681671372</v>
      </c>
      <c r="E140" s="308">
        <f t="shared" si="11"/>
        <v>0</v>
      </c>
      <c r="F140" s="307">
        <f t="shared" si="12"/>
        <v>68502.19681671372</v>
      </c>
      <c r="G140" s="307">
        <f t="shared" si="13"/>
        <v>36509.148841664704</v>
      </c>
      <c r="H140" s="307">
        <f t="shared" si="17"/>
        <v>31993.047975049016</v>
      </c>
      <c r="I140" s="307">
        <f t="shared" si="14"/>
        <v>8996822.044113351</v>
      </c>
      <c r="J140" s="307">
        <f>SUM($H$18:$H140)</f>
        <v>4777700.432569144</v>
      </c>
    </row>
    <row r="141" spans="1:10" ht="12.75">
      <c r="A141" s="304">
        <f t="shared" si="15"/>
        <v>124</v>
      </c>
      <c r="B141" s="305">
        <f t="shared" si="9"/>
        <v>46143</v>
      </c>
      <c r="C141" s="307">
        <f t="shared" si="16"/>
        <v>8996822.044113351</v>
      </c>
      <c r="D141" s="307">
        <f t="shared" si="10"/>
        <v>68502.19681671372</v>
      </c>
      <c r="E141" s="308">
        <f t="shared" si="11"/>
        <v>0</v>
      </c>
      <c r="F141" s="307">
        <f t="shared" si="12"/>
        <v>68502.19681671372</v>
      </c>
      <c r="G141" s="307">
        <f t="shared" si="13"/>
        <v>36638.4520771456</v>
      </c>
      <c r="H141" s="307">
        <f t="shared" si="17"/>
        <v>31863.744739568123</v>
      </c>
      <c r="I141" s="307">
        <f t="shared" si="14"/>
        <v>8960183.592036206</v>
      </c>
      <c r="J141" s="307">
        <f>SUM($H$18:$H141)</f>
        <v>4809564.177308712</v>
      </c>
    </row>
    <row r="142" spans="1:10" ht="12.75">
      <c r="A142" s="304">
        <f t="shared" si="15"/>
        <v>125</v>
      </c>
      <c r="B142" s="305">
        <f t="shared" si="9"/>
        <v>46174</v>
      </c>
      <c r="C142" s="307">
        <f t="shared" si="16"/>
        <v>8960183.592036206</v>
      </c>
      <c r="D142" s="307">
        <f t="shared" si="10"/>
        <v>68502.19681671372</v>
      </c>
      <c r="E142" s="308">
        <f t="shared" si="11"/>
        <v>0</v>
      </c>
      <c r="F142" s="307">
        <f t="shared" si="12"/>
        <v>68502.19681671372</v>
      </c>
      <c r="G142" s="307">
        <f t="shared" si="13"/>
        <v>36768.21326158549</v>
      </c>
      <c r="H142" s="307">
        <f t="shared" si="17"/>
        <v>31733.983555128234</v>
      </c>
      <c r="I142" s="307">
        <f t="shared" si="14"/>
        <v>8923415.37877462</v>
      </c>
      <c r="J142" s="307">
        <f>SUM($H$18:$H142)</f>
        <v>4841298.16086384</v>
      </c>
    </row>
    <row r="143" spans="1:10" ht="12.75">
      <c r="A143" s="304">
        <f t="shared" si="15"/>
        <v>126</v>
      </c>
      <c r="B143" s="305">
        <f t="shared" si="9"/>
        <v>46204</v>
      </c>
      <c r="C143" s="307">
        <f t="shared" si="16"/>
        <v>8923415.37877462</v>
      </c>
      <c r="D143" s="307">
        <f t="shared" si="10"/>
        <v>68502.19681671372</v>
      </c>
      <c r="E143" s="308">
        <f t="shared" si="11"/>
        <v>0</v>
      </c>
      <c r="F143" s="307">
        <f t="shared" si="12"/>
        <v>68502.19681671372</v>
      </c>
      <c r="G143" s="307">
        <f t="shared" si="13"/>
        <v>36898.43401688694</v>
      </c>
      <c r="H143" s="307">
        <f t="shared" si="17"/>
        <v>31603.762799826785</v>
      </c>
      <c r="I143" s="307">
        <f t="shared" si="14"/>
        <v>8886516.944757733</v>
      </c>
      <c r="J143" s="307">
        <f>SUM($H$18:$H143)</f>
        <v>4872901.9236636665</v>
      </c>
    </row>
    <row r="144" spans="1:10" ht="12.75">
      <c r="A144" s="304">
        <f t="shared" si="15"/>
        <v>127</v>
      </c>
      <c r="B144" s="305">
        <f t="shared" si="9"/>
        <v>46235</v>
      </c>
      <c r="C144" s="307">
        <f t="shared" si="16"/>
        <v>8886516.944757733</v>
      </c>
      <c r="D144" s="307">
        <f t="shared" si="10"/>
        <v>68502.19681671372</v>
      </c>
      <c r="E144" s="308">
        <f t="shared" si="11"/>
        <v>0</v>
      </c>
      <c r="F144" s="307">
        <f t="shared" si="12"/>
        <v>68502.19681671372</v>
      </c>
      <c r="G144" s="307">
        <f t="shared" si="13"/>
        <v>37029.115970696745</v>
      </c>
      <c r="H144" s="307">
        <f t="shared" si="17"/>
        <v>31473.080846016976</v>
      </c>
      <c r="I144" s="307">
        <f t="shared" si="14"/>
        <v>8849487.828787036</v>
      </c>
      <c r="J144" s="307">
        <f>SUM($H$18:$H144)</f>
        <v>4904375.004509684</v>
      </c>
    </row>
    <row r="145" spans="1:10" ht="12.75">
      <c r="A145" s="304">
        <f t="shared" si="15"/>
        <v>128</v>
      </c>
      <c r="B145" s="305">
        <f t="shared" si="9"/>
        <v>46266</v>
      </c>
      <c r="C145" s="307">
        <f t="shared" si="16"/>
        <v>8849487.828787036</v>
      </c>
      <c r="D145" s="307">
        <f t="shared" si="10"/>
        <v>68502.19681671372</v>
      </c>
      <c r="E145" s="308">
        <f t="shared" si="11"/>
        <v>0</v>
      </c>
      <c r="F145" s="307">
        <f t="shared" si="12"/>
        <v>68502.19681671372</v>
      </c>
      <c r="G145" s="307">
        <f t="shared" si="13"/>
        <v>37160.2607564263</v>
      </c>
      <c r="H145" s="307">
        <f t="shared" si="17"/>
        <v>31341.936060287422</v>
      </c>
      <c r="I145" s="307">
        <f t="shared" si="14"/>
        <v>8812327.56803061</v>
      </c>
      <c r="J145" s="307">
        <f>SUM($H$18:$H145)</f>
        <v>4935716.940569971</v>
      </c>
    </row>
    <row r="146" spans="1:10" ht="12.75">
      <c r="A146" s="304">
        <f t="shared" si="15"/>
        <v>129</v>
      </c>
      <c r="B146" s="305">
        <f aca="true" t="shared" si="18" ref="B146:B209">IF(Pay_Num_3&lt;&gt;"",DATE(YEAR(Loan_Start_3),MONTH(Loan_Start_3)+(Pay_Num_3)*12/Num_Pmt_Per_Year_3,DAY(Loan_Start_3)),"")</f>
        <v>46296</v>
      </c>
      <c r="C146" s="307">
        <f t="shared" si="16"/>
        <v>8812327.56803061</v>
      </c>
      <c r="D146" s="307">
        <f aca="true" t="shared" si="19" ref="D146:D209">IF(Pay_Num_3&lt;&gt;"",Scheduled_Monthly_Payment_3,"")</f>
        <v>68502.19681671372</v>
      </c>
      <c r="E146" s="308">
        <f aca="true" t="shared" si="20" ref="E146:E209">IF(AND(Pay_Num_3&lt;&gt;"",Sched_Pay_3+Scheduled_Extra_Payments_3&lt;Beg_Bal_3),Scheduled_Extra_Payments_3,IF(AND(Pay_Num_3&lt;&gt;"",Beg_Bal_3-Sched_Pay_3&gt;0),Beg_Bal_3-Sched_Pay_3,IF(Pay_Num_3&lt;&gt;"",0,"")))</f>
        <v>0</v>
      </c>
      <c r="F146" s="307">
        <f aca="true" t="shared" si="21" ref="F146:F209">IF(AND(Pay_Num_3&lt;&gt;"",Sched_Pay_3+Extra_Pay_3&lt;Beg_Bal_3),Sched_Pay_3+Extra_Pay_3,IF(Pay_Num_3&lt;&gt;"",Beg_Bal_3,""))</f>
        <v>68502.19681671372</v>
      </c>
      <c r="G146" s="307">
        <f aca="true" t="shared" si="22" ref="G146:G209">IF(Pay_Num_3&lt;&gt;"",Total_Pay_3-Int_3,"")</f>
        <v>37291.87001327198</v>
      </c>
      <c r="H146" s="307">
        <f t="shared" si="17"/>
        <v>31210.326803441745</v>
      </c>
      <c r="I146" s="307">
        <f aca="true" t="shared" si="23" ref="I146:I209">IF(AND(Pay_Num_3&lt;&gt;"",Sched_Pay_3+Extra_Pay_3&lt;Beg_Bal_3),Beg_Bal_3-Princ_3,IF(Pay_Num_3&lt;&gt;"",0,""))</f>
        <v>8775035.698017338</v>
      </c>
      <c r="J146" s="307">
        <f>SUM($H$18:$H146)</f>
        <v>4966927.267373413</v>
      </c>
    </row>
    <row r="147" spans="1:10" ht="12.75">
      <c r="A147" s="304">
        <f aca="true" t="shared" si="24" ref="A147:A210">IF(Values_Entered_3,A146+1,"")</f>
        <v>130</v>
      </c>
      <c r="B147" s="305">
        <f t="shared" si="18"/>
        <v>46327</v>
      </c>
      <c r="C147" s="307">
        <f aca="true" t="shared" si="25" ref="C147:C210">IF(Pay_Num_3&lt;&gt;"",I146,"")</f>
        <v>8775035.698017338</v>
      </c>
      <c r="D147" s="307">
        <f t="shared" si="19"/>
        <v>68502.19681671372</v>
      </c>
      <c r="E147" s="308">
        <f t="shared" si="20"/>
        <v>0</v>
      </c>
      <c r="F147" s="307">
        <f t="shared" si="21"/>
        <v>68502.19681671372</v>
      </c>
      <c r="G147" s="307">
        <f t="shared" si="22"/>
        <v>37423.945386235646</v>
      </c>
      <c r="H147" s="307">
        <f aca="true" t="shared" si="26" ref="H147:H210">IF(Pay_Num_3&lt;&gt;"",Beg_Bal_3*Interest_Rate_3/Num_Pmt_Per_Year_3,"")</f>
        <v>31078.251430478074</v>
      </c>
      <c r="I147" s="307">
        <f t="shared" si="23"/>
        <v>8737611.752631102</v>
      </c>
      <c r="J147" s="307">
        <f>SUM($H$18:$H147)</f>
        <v>4998005.518803891</v>
      </c>
    </row>
    <row r="148" spans="1:10" ht="12.75">
      <c r="A148" s="304">
        <f t="shared" si="24"/>
        <v>131</v>
      </c>
      <c r="B148" s="305">
        <f t="shared" si="18"/>
        <v>46357</v>
      </c>
      <c r="C148" s="307">
        <f t="shared" si="25"/>
        <v>8737611.752631102</v>
      </c>
      <c r="D148" s="307">
        <f t="shared" si="19"/>
        <v>68502.19681671372</v>
      </c>
      <c r="E148" s="308">
        <f t="shared" si="20"/>
        <v>0</v>
      </c>
      <c r="F148" s="307">
        <f t="shared" si="21"/>
        <v>68502.19681671372</v>
      </c>
      <c r="G148" s="307">
        <f t="shared" si="22"/>
        <v>37556.48852614523</v>
      </c>
      <c r="H148" s="307">
        <f t="shared" si="26"/>
        <v>30945.70829056849</v>
      </c>
      <c r="I148" s="307">
        <f t="shared" si="23"/>
        <v>8700055.264104957</v>
      </c>
      <c r="J148" s="307">
        <f>SUM($H$18:$H148)</f>
        <v>5028951.227094459</v>
      </c>
    </row>
    <row r="149" spans="1:10" ht="12.75">
      <c r="A149" s="304">
        <f t="shared" si="24"/>
        <v>132</v>
      </c>
      <c r="B149" s="305">
        <f t="shared" si="18"/>
        <v>46388</v>
      </c>
      <c r="C149" s="307">
        <f t="shared" si="25"/>
        <v>8700055.264104957</v>
      </c>
      <c r="D149" s="307">
        <f t="shared" si="19"/>
        <v>68502.19681671372</v>
      </c>
      <c r="E149" s="308">
        <f t="shared" si="20"/>
        <v>0</v>
      </c>
      <c r="F149" s="307">
        <f t="shared" si="21"/>
        <v>68502.19681671372</v>
      </c>
      <c r="G149" s="307">
        <f t="shared" si="22"/>
        <v>37689.50108967534</v>
      </c>
      <c r="H149" s="307">
        <f t="shared" si="26"/>
        <v>30812.69572703839</v>
      </c>
      <c r="I149" s="307">
        <f t="shared" si="23"/>
        <v>8662365.763015281</v>
      </c>
      <c r="J149" s="307">
        <f>SUM($H$18:$H149)</f>
        <v>5059763.922821498</v>
      </c>
    </row>
    <row r="150" spans="1:10" ht="12.75">
      <c r="A150" s="304">
        <f t="shared" si="24"/>
        <v>133</v>
      </c>
      <c r="B150" s="305">
        <f t="shared" si="18"/>
        <v>46419</v>
      </c>
      <c r="C150" s="307">
        <f t="shared" si="25"/>
        <v>8662365.763015281</v>
      </c>
      <c r="D150" s="307">
        <f t="shared" si="19"/>
        <v>68502.19681671372</v>
      </c>
      <c r="E150" s="308">
        <f t="shared" si="20"/>
        <v>0</v>
      </c>
      <c r="F150" s="307">
        <f t="shared" si="21"/>
        <v>68502.19681671372</v>
      </c>
      <c r="G150" s="307">
        <f t="shared" si="22"/>
        <v>37822.98473936794</v>
      </c>
      <c r="H150" s="307">
        <f t="shared" si="26"/>
        <v>30679.21207734579</v>
      </c>
      <c r="I150" s="307">
        <f t="shared" si="23"/>
        <v>8624542.778275913</v>
      </c>
      <c r="J150" s="307">
        <f>SUM($H$18:$H150)</f>
        <v>5090443.134898843</v>
      </c>
    </row>
    <row r="151" spans="1:10" ht="12.75">
      <c r="A151" s="304">
        <f t="shared" si="24"/>
        <v>134</v>
      </c>
      <c r="B151" s="305">
        <f t="shared" si="18"/>
        <v>46447</v>
      </c>
      <c r="C151" s="307">
        <f t="shared" si="25"/>
        <v>8624542.778275913</v>
      </c>
      <c r="D151" s="307">
        <f t="shared" si="19"/>
        <v>68502.19681671372</v>
      </c>
      <c r="E151" s="308">
        <f t="shared" si="20"/>
        <v>0</v>
      </c>
      <c r="F151" s="307">
        <f t="shared" si="21"/>
        <v>68502.19681671372</v>
      </c>
      <c r="G151" s="307">
        <f t="shared" si="22"/>
        <v>37956.941143653195</v>
      </c>
      <c r="H151" s="307">
        <f t="shared" si="26"/>
        <v>30545.25567306053</v>
      </c>
      <c r="I151" s="307">
        <f t="shared" si="23"/>
        <v>8586585.83713226</v>
      </c>
      <c r="J151" s="307">
        <f>SUM($H$18:$H151)</f>
        <v>5120988.390571903</v>
      </c>
    </row>
    <row r="152" spans="1:10" ht="12.75">
      <c r="A152" s="304">
        <f t="shared" si="24"/>
        <v>135</v>
      </c>
      <c r="B152" s="305">
        <f t="shared" si="18"/>
        <v>46478</v>
      </c>
      <c r="C152" s="307">
        <f t="shared" si="25"/>
        <v>8586585.83713226</v>
      </c>
      <c r="D152" s="307">
        <f t="shared" si="19"/>
        <v>68502.19681671372</v>
      </c>
      <c r="E152" s="308">
        <f t="shared" si="20"/>
        <v>0</v>
      </c>
      <c r="F152" s="307">
        <f t="shared" si="21"/>
        <v>68502.19681671372</v>
      </c>
      <c r="G152" s="307">
        <f t="shared" si="22"/>
        <v>38091.3719768703</v>
      </c>
      <c r="H152" s="307">
        <f t="shared" si="26"/>
        <v>30410.824839843423</v>
      </c>
      <c r="I152" s="307">
        <f t="shared" si="23"/>
        <v>8548494.46515539</v>
      </c>
      <c r="J152" s="307">
        <f>SUM($H$18:$H152)</f>
        <v>5151399.215411747</v>
      </c>
    </row>
    <row r="153" spans="1:10" ht="12.75">
      <c r="A153" s="304">
        <f t="shared" si="24"/>
        <v>136</v>
      </c>
      <c r="B153" s="305">
        <f t="shared" si="18"/>
        <v>46508</v>
      </c>
      <c r="C153" s="307">
        <f t="shared" si="25"/>
        <v>8548494.46515539</v>
      </c>
      <c r="D153" s="307">
        <f t="shared" si="19"/>
        <v>68502.19681671372</v>
      </c>
      <c r="E153" s="308">
        <f t="shared" si="20"/>
        <v>0</v>
      </c>
      <c r="F153" s="307">
        <f t="shared" si="21"/>
        <v>68502.19681671372</v>
      </c>
      <c r="G153" s="307">
        <f t="shared" si="22"/>
        <v>38226.27891928838</v>
      </c>
      <c r="H153" s="307">
        <f t="shared" si="26"/>
        <v>30275.91789742534</v>
      </c>
      <c r="I153" s="307">
        <f t="shared" si="23"/>
        <v>8510268.1862361</v>
      </c>
      <c r="J153" s="307">
        <f>SUM($H$18:$H153)</f>
        <v>5181675.1333091725</v>
      </c>
    </row>
    <row r="154" spans="1:10" ht="12.75">
      <c r="A154" s="304">
        <f t="shared" si="24"/>
        <v>137</v>
      </c>
      <c r="B154" s="305">
        <f t="shared" si="18"/>
        <v>46539</v>
      </c>
      <c r="C154" s="307">
        <f t="shared" si="25"/>
        <v>8510268.1862361</v>
      </c>
      <c r="D154" s="307">
        <f t="shared" si="19"/>
        <v>68502.19681671372</v>
      </c>
      <c r="E154" s="308">
        <f t="shared" si="20"/>
        <v>0</v>
      </c>
      <c r="F154" s="307">
        <f t="shared" si="21"/>
        <v>68502.19681671372</v>
      </c>
      <c r="G154" s="307">
        <f t="shared" si="22"/>
        <v>38361.66365712753</v>
      </c>
      <c r="H154" s="307">
        <f t="shared" si="26"/>
        <v>30140.53315958619</v>
      </c>
      <c r="I154" s="307">
        <f t="shared" si="23"/>
        <v>8471906.522578973</v>
      </c>
      <c r="J154" s="307">
        <f>SUM($H$18:$H154)</f>
        <v>5211815.666468759</v>
      </c>
    </row>
    <row r="155" spans="1:10" ht="12.75">
      <c r="A155" s="304">
        <f t="shared" si="24"/>
        <v>138</v>
      </c>
      <c r="B155" s="305">
        <f t="shared" si="18"/>
        <v>46569</v>
      </c>
      <c r="C155" s="307">
        <f t="shared" si="25"/>
        <v>8471906.522578973</v>
      </c>
      <c r="D155" s="307">
        <f t="shared" si="19"/>
        <v>68502.19681671372</v>
      </c>
      <c r="E155" s="308">
        <f t="shared" si="20"/>
        <v>0</v>
      </c>
      <c r="F155" s="307">
        <f t="shared" si="21"/>
        <v>68502.19681671372</v>
      </c>
      <c r="G155" s="307">
        <f t="shared" si="22"/>
        <v>38497.52788257986</v>
      </c>
      <c r="H155" s="307">
        <f t="shared" si="26"/>
        <v>30004.668934133864</v>
      </c>
      <c r="I155" s="307">
        <f t="shared" si="23"/>
        <v>8433408.994696394</v>
      </c>
      <c r="J155" s="307">
        <f>SUM($H$18:$H155)</f>
        <v>5241820.335402893</v>
      </c>
    </row>
    <row r="156" spans="1:10" ht="12.75">
      <c r="A156" s="304">
        <f t="shared" si="24"/>
        <v>139</v>
      </c>
      <c r="B156" s="305">
        <f t="shared" si="18"/>
        <v>46600</v>
      </c>
      <c r="C156" s="307">
        <f t="shared" si="25"/>
        <v>8433408.994696394</v>
      </c>
      <c r="D156" s="307">
        <f t="shared" si="19"/>
        <v>68502.19681671372</v>
      </c>
      <c r="E156" s="308">
        <f t="shared" si="20"/>
        <v>0</v>
      </c>
      <c r="F156" s="307">
        <f t="shared" si="21"/>
        <v>68502.19681671372</v>
      </c>
      <c r="G156" s="307">
        <f t="shared" si="22"/>
        <v>38633.873293830664</v>
      </c>
      <c r="H156" s="307">
        <f t="shared" si="26"/>
        <v>29868.323522883064</v>
      </c>
      <c r="I156" s="307">
        <f t="shared" si="23"/>
        <v>8394775.121402564</v>
      </c>
      <c r="J156" s="307">
        <f>SUM($H$18:$H156)</f>
        <v>5271688.658925776</v>
      </c>
    </row>
    <row r="157" spans="1:10" ht="12.75">
      <c r="A157" s="304">
        <f t="shared" si="24"/>
        <v>140</v>
      </c>
      <c r="B157" s="305">
        <f t="shared" si="18"/>
        <v>46631</v>
      </c>
      <c r="C157" s="307">
        <f t="shared" si="25"/>
        <v>8394775.121402564</v>
      </c>
      <c r="D157" s="307">
        <f t="shared" si="19"/>
        <v>68502.19681671372</v>
      </c>
      <c r="E157" s="308">
        <f t="shared" si="20"/>
        <v>0</v>
      </c>
      <c r="F157" s="307">
        <f t="shared" si="21"/>
        <v>68502.19681671372</v>
      </c>
      <c r="G157" s="307">
        <f t="shared" si="22"/>
        <v>38770.70159507965</v>
      </c>
      <c r="H157" s="307">
        <f t="shared" si="26"/>
        <v>29731.49522163408</v>
      </c>
      <c r="I157" s="307">
        <f t="shared" si="23"/>
        <v>8356004.419807483</v>
      </c>
      <c r="J157" s="307">
        <f>SUM($H$18:$H157)</f>
        <v>5301420.154147411</v>
      </c>
    </row>
    <row r="158" spans="1:10" ht="12.75">
      <c r="A158" s="304">
        <f t="shared" si="24"/>
        <v>141</v>
      </c>
      <c r="B158" s="305">
        <f t="shared" si="18"/>
        <v>46661</v>
      </c>
      <c r="C158" s="307">
        <f t="shared" si="25"/>
        <v>8356004.419807483</v>
      </c>
      <c r="D158" s="307">
        <f t="shared" si="19"/>
        <v>68502.19681671372</v>
      </c>
      <c r="E158" s="308">
        <f t="shared" si="20"/>
        <v>0</v>
      </c>
      <c r="F158" s="307">
        <f t="shared" si="21"/>
        <v>68502.19681671372</v>
      </c>
      <c r="G158" s="307">
        <f t="shared" si="22"/>
        <v>38908.01449656222</v>
      </c>
      <c r="H158" s="307">
        <f t="shared" si="26"/>
        <v>29594.182320151507</v>
      </c>
      <c r="I158" s="307">
        <f t="shared" si="23"/>
        <v>8317096.405310921</v>
      </c>
      <c r="J158" s="307">
        <f>SUM($H$18:$H158)</f>
        <v>5331014.336467562</v>
      </c>
    </row>
    <row r="159" spans="1:10" ht="12.75">
      <c r="A159" s="304">
        <f t="shared" si="24"/>
        <v>142</v>
      </c>
      <c r="B159" s="305">
        <f t="shared" si="18"/>
        <v>46692</v>
      </c>
      <c r="C159" s="307">
        <f t="shared" si="25"/>
        <v>8317096.405310921</v>
      </c>
      <c r="D159" s="307">
        <f t="shared" si="19"/>
        <v>68502.19681671372</v>
      </c>
      <c r="E159" s="308">
        <f t="shared" si="20"/>
        <v>0</v>
      </c>
      <c r="F159" s="307">
        <f t="shared" si="21"/>
        <v>68502.19681671372</v>
      </c>
      <c r="G159" s="307">
        <f t="shared" si="22"/>
        <v>39045.813714570875</v>
      </c>
      <c r="H159" s="307">
        <f t="shared" si="26"/>
        <v>29456.38310214285</v>
      </c>
      <c r="I159" s="307">
        <f t="shared" si="23"/>
        <v>8278050.59159635</v>
      </c>
      <c r="J159" s="307">
        <f>SUM($H$18:$H159)</f>
        <v>5360470.719569705</v>
      </c>
    </row>
    <row r="160" spans="1:10" ht="12.75">
      <c r="A160" s="304">
        <f t="shared" si="24"/>
        <v>143</v>
      </c>
      <c r="B160" s="305">
        <f t="shared" si="18"/>
        <v>46722</v>
      </c>
      <c r="C160" s="307">
        <f t="shared" si="25"/>
        <v>8278050.59159635</v>
      </c>
      <c r="D160" s="307">
        <f t="shared" si="19"/>
        <v>68502.19681671372</v>
      </c>
      <c r="E160" s="308">
        <f t="shared" si="20"/>
        <v>0</v>
      </c>
      <c r="F160" s="307">
        <f t="shared" si="21"/>
        <v>68502.19681671372</v>
      </c>
      <c r="G160" s="307">
        <f t="shared" si="22"/>
        <v>39184.100971476655</v>
      </c>
      <c r="H160" s="307">
        <f t="shared" si="26"/>
        <v>29318.095845237072</v>
      </c>
      <c r="I160" s="307">
        <f t="shared" si="23"/>
        <v>8238866.490624873</v>
      </c>
      <c r="J160" s="307">
        <f>SUM($H$18:$H160)</f>
        <v>5389788.815414943</v>
      </c>
    </row>
    <row r="161" spans="1:10" ht="12.75">
      <c r="A161" s="304">
        <f t="shared" si="24"/>
        <v>144</v>
      </c>
      <c r="B161" s="305">
        <f t="shared" si="18"/>
        <v>46753</v>
      </c>
      <c r="C161" s="307">
        <f t="shared" si="25"/>
        <v>8238866.490624873</v>
      </c>
      <c r="D161" s="307">
        <f t="shared" si="19"/>
        <v>68502.19681671372</v>
      </c>
      <c r="E161" s="308">
        <f t="shared" si="20"/>
        <v>0</v>
      </c>
      <c r="F161" s="307">
        <f t="shared" si="21"/>
        <v>68502.19681671372</v>
      </c>
      <c r="G161" s="307">
        <f t="shared" si="22"/>
        <v>39322.877995750634</v>
      </c>
      <c r="H161" s="307">
        <f t="shared" si="26"/>
        <v>29179.318820963093</v>
      </c>
      <c r="I161" s="307">
        <f t="shared" si="23"/>
        <v>8199543.612629122</v>
      </c>
      <c r="J161" s="307">
        <f>SUM($H$18:$H161)</f>
        <v>5418968.1342359055</v>
      </c>
    </row>
    <row r="162" spans="1:10" ht="12.75">
      <c r="A162" s="304">
        <f t="shared" si="24"/>
        <v>145</v>
      </c>
      <c r="B162" s="305">
        <f t="shared" si="18"/>
        <v>46784</v>
      </c>
      <c r="C162" s="307">
        <f t="shared" si="25"/>
        <v>8199543.612629122</v>
      </c>
      <c r="D162" s="307">
        <f t="shared" si="19"/>
        <v>68502.19681671372</v>
      </c>
      <c r="E162" s="308">
        <f t="shared" si="20"/>
        <v>0</v>
      </c>
      <c r="F162" s="307">
        <f t="shared" si="21"/>
        <v>68502.19681671372</v>
      </c>
      <c r="G162" s="307">
        <f t="shared" si="22"/>
        <v>39462.146521985575</v>
      </c>
      <c r="H162" s="307">
        <f t="shared" si="26"/>
        <v>29040.050294728146</v>
      </c>
      <c r="I162" s="307">
        <f t="shared" si="23"/>
        <v>8160081.466107137</v>
      </c>
      <c r="J162" s="307">
        <f>SUM($H$18:$H162)</f>
        <v>5448008.1845306335</v>
      </c>
    </row>
    <row r="163" spans="1:10" ht="12.75">
      <c r="A163" s="304">
        <f t="shared" si="24"/>
        <v>146</v>
      </c>
      <c r="B163" s="305">
        <f t="shared" si="18"/>
        <v>46813</v>
      </c>
      <c r="C163" s="307">
        <f t="shared" si="25"/>
        <v>8160081.466107137</v>
      </c>
      <c r="D163" s="307">
        <f t="shared" si="19"/>
        <v>68502.19681671372</v>
      </c>
      <c r="E163" s="308">
        <f t="shared" si="20"/>
        <v>0</v>
      </c>
      <c r="F163" s="307">
        <f t="shared" si="21"/>
        <v>68502.19681671372</v>
      </c>
      <c r="G163" s="307">
        <f t="shared" si="22"/>
        <v>39601.90829091761</v>
      </c>
      <c r="H163" s="307">
        <f t="shared" si="26"/>
        <v>28900.288525796113</v>
      </c>
      <c r="I163" s="307">
        <f t="shared" si="23"/>
        <v>8120479.557816219</v>
      </c>
      <c r="J163" s="307">
        <f>SUM($H$18:$H163)</f>
        <v>5476908.47305643</v>
      </c>
    </row>
    <row r="164" spans="1:10" ht="12.75">
      <c r="A164" s="304">
        <f t="shared" si="24"/>
        <v>147</v>
      </c>
      <c r="B164" s="305">
        <f t="shared" si="18"/>
        <v>46844</v>
      </c>
      <c r="C164" s="307">
        <f t="shared" si="25"/>
        <v>8120479.557816219</v>
      </c>
      <c r="D164" s="307">
        <f t="shared" si="19"/>
        <v>68502.19681671372</v>
      </c>
      <c r="E164" s="308">
        <f t="shared" si="20"/>
        <v>0</v>
      </c>
      <c r="F164" s="307">
        <f t="shared" si="21"/>
        <v>68502.19681671372</v>
      </c>
      <c r="G164" s="307">
        <f t="shared" si="22"/>
        <v>39742.165049447955</v>
      </c>
      <c r="H164" s="307">
        <f t="shared" si="26"/>
        <v>28760.031767265773</v>
      </c>
      <c r="I164" s="307">
        <f t="shared" si="23"/>
        <v>8080737.392766771</v>
      </c>
      <c r="J164" s="307">
        <f>SUM($H$18:$H164)</f>
        <v>5505668.504823696</v>
      </c>
    </row>
    <row r="165" spans="1:10" ht="12.75">
      <c r="A165" s="304">
        <f t="shared" si="24"/>
        <v>148</v>
      </c>
      <c r="B165" s="305">
        <f t="shared" si="18"/>
        <v>46874</v>
      </c>
      <c r="C165" s="307">
        <f t="shared" si="25"/>
        <v>8080737.392766771</v>
      </c>
      <c r="D165" s="307">
        <f t="shared" si="19"/>
        <v>68502.19681671372</v>
      </c>
      <c r="E165" s="308">
        <f t="shared" si="20"/>
        <v>0</v>
      </c>
      <c r="F165" s="307">
        <f t="shared" si="21"/>
        <v>68502.19681671372</v>
      </c>
      <c r="G165" s="307">
        <f t="shared" si="22"/>
        <v>39882.91855066475</v>
      </c>
      <c r="H165" s="307">
        <f t="shared" si="26"/>
        <v>28619.27826604898</v>
      </c>
      <c r="I165" s="307">
        <f t="shared" si="23"/>
        <v>8040854.474216106</v>
      </c>
      <c r="J165" s="307">
        <f>SUM($H$18:$H165)</f>
        <v>5534287.783089745</v>
      </c>
    </row>
    <row r="166" spans="1:10" ht="12.75">
      <c r="A166" s="304">
        <f t="shared" si="24"/>
        <v>149</v>
      </c>
      <c r="B166" s="305">
        <f t="shared" si="18"/>
        <v>46905</v>
      </c>
      <c r="C166" s="307">
        <f t="shared" si="25"/>
        <v>8040854.474216106</v>
      </c>
      <c r="D166" s="307">
        <f t="shared" si="19"/>
        <v>68502.19681671372</v>
      </c>
      <c r="E166" s="308">
        <f t="shared" si="20"/>
        <v>0</v>
      </c>
      <c r="F166" s="307">
        <f t="shared" si="21"/>
        <v>68502.19681671372</v>
      </c>
      <c r="G166" s="307">
        <f t="shared" si="22"/>
        <v>40024.17055386501</v>
      </c>
      <c r="H166" s="307">
        <f t="shared" si="26"/>
        <v>28478.02626284871</v>
      </c>
      <c r="I166" s="307">
        <f t="shared" si="23"/>
        <v>8000830.303662241</v>
      </c>
      <c r="J166" s="307">
        <f>SUM($H$18:$H166)</f>
        <v>5562765.8093525935</v>
      </c>
    </row>
    <row r="167" spans="1:10" ht="12.75">
      <c r="A167" s="304">
        <f t="shared" si="24"/>
        <v>150</v>
      </c>
      <c r="B167" s="305">
        <f t="shared" si="18"/>
        <v>46935</v>
      </c>
      <c r="C167" s="307">
        <f t="shared" si="25"/>
        <v>8000830.303662241</v>
      </c>
      <c r="D167" s="307">
        <f t="shared" si="19"/>
        <v>68502.19681671372</v>
      </c>
      <c r="E167" s="308">
        <f t="shared" si="20"/>
        <v>0</v>
      </c>
      <c r="F167" s="307">
        <f t="shared" si="21"/>
        <v>68502.19681671372</v>
      </c>
      <c r="G167" s="307">
        <f t="shared" si="22"/>
        <v>40165.92282457661</v>
      </c>
      <c r="H167" s="307">
        <f t="shared" si="26"/>
        <v>28336.273992137107</v>
      </c>
      <c r="I167" s="307">
        <f t="shared" si="23"/>
        <v>7960664.380837665</v>
      </c>
      <c r="J167" s="307">
        <f>SUM($H$18:$H167)</f>
        <v>5591102.083344731</v>
      </c>
    </row>
    <row r="168" spans="1:10" ht="12.75">
      <c r="A168" s="304">
        <f t="shared" si="24"/>
        <v>151</v>
      </c>
      <c r="B168" s="305">
        <f t="shared" si="18"/>
        <v>46966</v>
      </c>
      <c r="C168" s="307">
        <f t="shared" si="25"/>
        <v>7960664.380837665</v>
      </c>
      <c r="D168" s="307">
        <f t="shared" si="19"/>
        <v>68502.19681671372</v>
      </c>
      <c r="E168" s="308">
        <f t="shared" si="20"/>
        <v>0</v>
      </c>
      <c r="F168" s="307">
        <f t="shared" si="21"/>
        <v>68502.19681671372</v>
      </c>
      <c r="G168" s="307">
        <f t="shared" si="22"/>
        <v>40308.17713458033</v>
      </c>
      <c r="H168" s="307">
        <f t="shared" si="26"/>
        <v>28194.0196821334</v>
      </c>
      <c r="I168" s="307">
        <f t="shared" si="23"/>
        <v>7920356.203703085</v>
      </c>
      <c r="J168" s="307">
        <f>SUM($H$18:$H168)</f>
        <v>5619296.103026864</v>
      </c>
    </row>
    <row r="169" spans="1:10" ht="12.75">
      <c r="A169" s="304">
        <f t="shared" si="24"/>
        <v>152</v>
      </c>
      <c r="B169" s="305">
        <f t="shared" si="18"/>
        <v>46997</v>
      </c>
      <c r="C169" s="307">
        <f t="shared" si="25"/>
        <v>7920356.203703085</v>
      </c>
      <c r="D169" s="307">
        <f t="shared" si="19"/>
        <v>68502.19681671372</v>
      </c>
      <c r="E169" s="308">
        <f t="shared" si="20"/>
        <v>0</v>
      </c>
      <c r="F169" s="307">
        <f t="shared" si="21"/>
        <v>68502.19681671372</v>
      </c>
      <c r="G169" s="307">
        <f t="shared" si="22"/>
        <v>40450.93526193197</v>
      </c>
      <c r="H169" s="307">
        <f t="shared" si="26"/>
        <v>28051.26155478176</v>
      </c>
      <c r="I169" s="307">
        <f t="shared" si="23"/>
        <v>7879905.268441153</v>
      </c>
      <c r="J169" s="307">
        <f>SUM($H$18:$H169)</f>
        <v>5647347.3645816455</v>
      </c>
    </row>
    <row r="170" spans="1:10" ht="12.75">
      <c r="A170" s="304">
        <f t="shared" si="24"/>
        <v>153</v>
      </c>
      <c r="B170" s="305">
        <f t="shared" si="18"/>
        <v>47027</v>
      </c>
      <c r="C170" s="307">
        <f t="shared" si="25"/>
        <v>7879905.268441153</v>
      </c>
      <c r="D170" s="307">
        <f t="shared" si="19"/>
        <v>68502.19681671372</v>
      </c>
      <c r="E170" s="308">
        <f t="shared" si="20"/>
        <v>0</v>
      </c>
      <c r="F170" s="307">
        <f t="shared" si="21"/>
        <v>68502.19681671372</v>
      </c>
      <c r="G170" s="307">
        <f t="shared" si="22"/>
        <v>40594.198990984645</v>
      </c>
      <c r="H170" s="307">
        <f t="shared" si="26"/>
        <v>27907.997825729082</v>
      </c>
      <c r="I170" s="307">
        <f t="shared" si="23"/>
        <v>7839311.069450168</v>
      </c>
      <c r="J170" s="307">
        <f>SUM($H$18:$H170)</f>
        <v>5675255.362407374</v>
      </c>
    </row>
    <row r="171" spans="1:10" ht="12.75">
      <c r="A171" s="304">
        <f t="shared" si="24"/>
        <v>154</v>
      </c>
      <c r="B171" s="305">
        <f t="shared" si="18"/>
        <v>47058</v>
      </c>
      <c r="C171" s="307">
        <f t="shared" si="25"/>
        <v>7839311.069450168</v>
      </c>
      <c r="D171" s="307">
        <f t="shared" si="19"/>
        <v>68502.19681671372</v>
      </c>
      <c r="E171" s="308">
        <f t="shared" si="20"/>
        <v>0</v>
      </c>
      <c r="F171" s="307">
        <f t="shared" si="21"/>
        <v>68502.19681671372</v>
      </c>
      <c r="G171" s="307">
        <f t="shared" si="22"/>
        <v>40737.97011241104</v>
      </c>
      <c r="H171" s="307">
        <f t="shared" si="26"/>
        <v>27764.22670430268</v>
      </c>
      <c r="I171" s="307">
        <f t="shared" si="23"/>
        <v>7798573.099337757</v>
      </c>
      <c r="J171" s="307">
        <f>SUM($H$18:$H171)</f>
        <v>5703019.589111676</v>
      </c>
    </row>
    <row r="172" spans="1:10" ht="12.75">
      <c r="A172" s="304">
        <f t="shared" si="24"/>
        <v>155</v>
      </c>
      <c r="B172" s="305">
        <f t="shared" si="18"/>
        <v>47088</v>
      </c>
      <c r="C172" s="307">
        <f t="shared" si="25"/>
        <v>7798573.099337757</v>
      </c>
      <c r="D172" s="307">
        <f t="shared" si="19"/>
        <v>68502.19681671372</v>
      </c>
      <c r="E172" s="308">
        <f t="shared" si="20"/>
        <v>0</v>
      </c>
      <c r="F172" s="307">
        <f t="shared" si="21"/>
        <v>68502.19681671372</v>
      </c>
      <c r="G172" s="307">
        <f t="shared" si="22"/>
        <v>40882.250423225836</v>
      </c>
      <c r="H172" s="307">
        <f t="shared" si="26"/>
        <v>27619.946393487888</v>
      </c>
      <c r="I172" s="307">
        <f t="shared" si="23"/>
        <v>7757690.848914531</v>
      </c>
      <c r="J172" s="307">
        <f>SUM($H$18:$H172)</f>
        <v>5730639.535505164</v>
      </c>
    </row>
    <row r="173" spans="1:10" ht="12.75">
      <c r="A173" s="304">
        <f t="shared" si="24"/>
        <v>156</v>
      </c>
      <c r="B173" s="305">
        <f t="shared" si="18"/>
        <v>47119</v>
      </c>
      <c r="C173" s="307">
        <f t="shared" si="25"/>
        <v>7757690.848914531</v>
      </c>
      <c r="D173" s="307">
        <f t="shared" si="19"/>
        <v>68502.19681671372</v>
      </c>
      <c r="E173" s="308">
        <f t="shared" si="20"/>
        <v>0</v>
      </c>
      <c r="F173" s="307">
        <f t="shared" si="21"/>
        <v>68502.19681671372</v>
      </c>
      <c r="G173" s="307">
        <f t="shared" si="22"/>
        <v>41027.04172680809</v>
      </c>
      <c r="H173" s="307">
        <f t="shared" si="26"/>
        <v>27475.15508990563</v>
      </c>
      <c r="I173" s="307">
        <f t="shared" si="23"/>
        <v>7716663.807187723</v>
      </c>
      <c r="J173" s="307">
        <f>SUM($H$18:$H173)</f>
        <v>5758114.69059507</v>
      </c>
    </row>
    <row r="174" spans="1:10" ht="12.75">
      <c r="A174" s="304">
        <f t="shared" si="24"/>
        <v>157</v>
      </c>
      <c r="B174" s="305">
        <f t="shared" si="18"/>
        <v>47150</v>
      </c>
      <c r="C174" s="307">
        <f t="shared" si="25"/>
        <v>7716663.807187723</v>
      </c>
      <c r="D174" s="307">
        <f t="shared" si="19"/>
        <v>68502.19681671372</v>
      </c>
      <c r="E174" s="308">
        <f t="shared" si="20"/>
        <v>0</v>
      </c>
      <c r="F174" s="307">
        <f t="shared" si="21"/>
        <v>68502.19681671372</v>
      </c>
      <c r="G174" s="307">
        <f t="shared" si="22"/>
        <v>41172.345832923864</v>
      </c>
      <c r="H174" s="307">
        <f t="shared" si="26"/>
        <v>27329.850983789856</v>
      </c>
      <c r="I174" s="307">
        <f t="shared" si="23"/>
        <v>7675491.4613548</v>
      </c>
      <c r="J174" s="307">
        <f>SUM($H$18:$H174)</f>
        <v>5785444.54157886</v>
      </c>
    </row>
    <row r="175" spans="1:10" ht="12.75">
      <c r="A175" s="304">
        <f t="shared" si="24"/>
        <v>158</v>
      </c>
      <c r="B175" s="305">
        <f t="shared" si="18"/>
        <v>47178</v>
      </c>
      <c r="C175" s="307">
        <f t="shared" si="25"/>
        <v>7675491.4613548</v>
      </c>
      <c r="D175" s="307">
        <f t="shared" si="19"/>
        <v>68502.19681671372</v>
      </c>
      <c r="E175" s="308">
        <f t="shared" si="20"/>
        <v>0</v>
      </c>
      <c r="F175" s="307">
        <f t="shared" si="21"/>
        <v>68502.19681671372</v>
      </c>
      <c r="G175" s="307">
        <f t="shared" si="22"/>
        <v>41318.16455774881</v>
      </c>
      <c r="H175" s="307">
        <f t="shared" si="26"/>
        <v>27184.032258964915</v>
      </c>
      <c r="I175" s="307">
        <f t="shared" si="23"/>
        <v>7634173.296797051</v>
      </c>
      <c r="J175" s="307">
        <f>SUM($H$18:$H175)</f>
        <v>5812628.573837825</v>
      </c>
    </row>
    <row r="176" spans="1:10" ht="12.75">
      <c r="A176" s="304">
        <f t="shared" si="24"/>
        <v>159</v>
      </c>
      <c r="B176" s="305">
        <f t="shared" si="18"/>
        <v>47209</v>
      </c>
      <c r="C176" s="307">
        <f t="shared" si="25"/>
        <v>7634173.296797051</v>
      </c>
      <c r="D176" s="307">
        <f t="shared" si="19"/>
        <v>68502.19681671372</v>
      </c>
      <c r="E176" s="308">
        <f t="shared" si="20"/>
        <v>0</v>
      </c>
      <c r="F176" s="307">
        <f t="shared" si="21"/>
        <v>68502.19681671372</v>
      </c>
      <c r="G176" s="307">
        <f t="shared" si="22"/>
        <v>41464.499723890825</v>
      </c>
      <c r="H176" s="307">
        <f t="shared" si="26"/>
        <v>27037.697092822895</v>
      </c>
      <c r="I176" s="307">
        <f t="shared" si="23"/>
        <v>7592708.79707316</v>
      </c>
      <c r="J176" s="307">
        <f>SUM($H$18:$H176)</f>
        <v>5839666.270930648</v>
      </c>
    </row>
    <row r="177" spans="1:10" ht="12.75">
      <c r="A177" s="304">
        <f t="shared" si="24"/>
        <v>160</v>
      </c>
      <c r="B177" s="305">
        <f t="shared" si="18"/>
        <v>47239</v>
      </c>
      <c r="C177" s="307">
        <f t="shared" si="25"/>
        <v>7592708.79707316</v>
      </c>
      <c r="D177" s="307">
        <f t="shared" si="19"/>
        <v>68502.19681671372</v>
      </c>
      <c r="E177" s="308">
        <f t="shared" si="20"/>
        <v>0</v>
      </c>
      <c r="F177" s="307">
        <f t="shared" si="21"/>
        <v>68502.19681671372</v>
      </c>
      <c r="G177" s="307">
        <f t="shared" si="22"/>
        <v>41611.35316041295</v>
      </c>
      <c r="H177" s="307">
        <f t="shared" si="26"/>
        <v>26890.843656300774</v>
      </c>
      <c r="I177" s="307">
        <f t="shared" si="23"/>
        <v>7551097.443912747</v>
      </c>
      <c r="J177" s="307">
        <f>SUM($H$18:$H177)</f>
        <v>5866557.114586948</v>
      </c>
    </row>
    <row r="178" spans="1:10" ht="12.75">
      <c r="A178" s="304">
        <f t="shared" si="24"/>
        <v>161</v>
      </c>
      <c r="B178" s="305">
        <f t="shared" si="18"/>
        <v>47270</v>
      </c>
      <c r="C178" s="307">
        <f t="shared" si="25"/>
        <v>7551097.443912747</v>
      </c>
      <c r="D178" s="307">
        <f t="shared" si="19"/>
        <v>68502.19681671372</v>
      </c>
      <c r="E178" s="308">
        <f t="shared" si="20"/>
        <v>0</v>
      </c>
      <c r="F178" s="307">
        <f t="shared" si="21"/>
        <v>68502.19681671372</v>
      </c>
      <c r="G178" s="307">
        <f t="shared" si="22"/>
        <v>41758.726702856075</v>
      </c>
      <c r="H178" s="307">
        <f t="shared" si="26"/>
        <v>26743.47011385765</v>
      </c>
      <c r="I178" s="307">
        <f t="shared" si="23"/>
        <v>7509338.717209891</v>
      </c>
      <c r="J178" s="307">
        <f>SUM($H$18:$H178)</f>
        <v>5893300.584700806</v>
      </c>
    </row>
    <row r="179" spans="1:10" ht="12.75">
      <c r="A179" s="304">
        <f t="shared" si="24"/>
        <v>162</v>
      </c>
      <c r="B179" s="305">
        <f t="shared" si="18"/>
        <v>47300</v>
      </c>
      <c r="C179" s="307">
        <f t="shared" si="25"/>
        <v>7509338.717209891</v>
      </c>
      <c r="D179" s="307">
        <f t="shared" si="19"/>
        <v>68502.19681671372</v>
      </c>
      <c r="E179" s="308">
        <f t="shared" si="20"/>
        <v>0</v>
      </c>
      <c r="F179" s="307">
        <f t="shared" si="21"/>
        <v>68502.19681671372</v>
      </c>
      <c r="G179" s="307">
        <f t="shared" si="22"/>
        <v>41906.622193262025</v>
      </c>
      <c r="H179" s="307">
        <f t="shared" si="26"/>
        <v>26595.5746234517</v>
      </c>
      <c r="I179" s="307">
        <f t="shared" si="23"/>
        <v>7467432.095016629</v>
      </c>
      <c r="J179" s="307">
        <f>SUM($H$18:$H179)</f>
        <v>5919896.159324258</v>
      </c>
    </row>
    <row r="180" spans="1:10" ht="12.75">
      <c r="A180" s="304">
        <f t="shared" si="24"/>
        <v>163</v>
      </c>
      <c r="B180" s="305">
        <f t="shared" si="18"/>
        <v>47331</v>
      </c>
      <c r="C180" s="307">
        <f t="shared" si="25"/>
        <v>7467432.095016629</v>
      </c>
      <c r="D180" s="307">
        <f t="shared" si="19"/>
        <v>68502.19681671372</v>
      </c>
      <c r="E180" s="308">
        <f t="shared" si="20"/>
        <v>0</v>
      </c>
      <c r="F180" s="307">
        <f t="shared" si="21"/>
        <v>68502.19681671372</v>
      </c>
      <c r="G180" s="307">
        <f t="shared" si="22"/>
        <v>42055.041480196494</v>
      </c>
      <c r="H180" s="307">
        <f t="shared" si="26"/>
        <v>26447.15533651723</v>
      </c>
      <c r="I180" s="307">
        <f t="shared" si="23"/>
        <v>7425377.053536433</v>
      </c>
      <c r="J180" s="307">
        <f>SUM($H$18:$H180)</f>
        <v>5946343.314660775</v>
      </c>
    </row>
    <row r="181" spans="1:10" ht="12.75">
      <c r="A181" s="304">
        <f t="shared" si="24"/>
        <v>164</v>
      </c>
      <c r="B181" s="305">
        <f t="shared" si="18"/>
        <v>47362</v>
      </c>
      <c r="C181" s="307">
        <f t="shared" si="25"/>
        <v>7425377.053536433</v>
      </c>
      <c r="D181" s="307">
        <f t="shared" si="19"/>
        <v>68502.19681671372</v>
      </c>
      <c r="E181" s="308">
        <f t="shared" si="20"/>
        <v>0</v>
      </c>
      <c r="F181" s="307">
        <f t="shared" si="21"/>
        <v>68502.19681671372</v>
      </c>
      <c r="G181" s="307">
        <f t="shared" si="22"/>
        <v>42203.98641877218</v>
      </c>
      <c r="H181" s="307">
        <f t="shared" si="26"/>
        <v>26298.210397941537</v>
      </c>
      <c r="I181" s="307">
        <f t="shared" si="23"/>
        <v>7383173.06711766</v>
      </c>
      <c r="J181" s="307">
        <f>SUM($H$18:$H181)</f>
        <v>5972641.525058717</v>
      </c>
    </row>
    <row r="182" spans="1:10" ht="12.75">
      <c r="A182" s="304">
        <f t="shared" si="24"/>
        <v>165</v>
      </c>
      <c r="B182" s="305">
        <f t="shared" si="18"/>
        <v>47392</v>
      </c>
      <c r="C182" s="307">
        <f t="shared" si="25"/>
        <v>7383173.06711766</v>
      </c>
      <c r="D182" s="307">
        <f t="shared" si="19"/>
        <v>68502.19681671372</v>
      </c>
      <c r="E182" s="308">
        <f t="shared" si="20"/>
        <v>0</v>
      </c>
      <c r="F182" s="307">
        <f t="shared" si="21"/>
        <v>68502.19681671372</v>
      </c>
      <c r="G182" s="307">
        <f t="shared" si="22"/>
        <v>42353.45887067201</v>
      </c>
      <c r="H182" s="307">
        <f t="shared" si="26"/>
        <v>26148.737946041714</v>
      </c>
      <c r="I182" s="307">
        <f t="shared" si="23"/>
        <v>7340819.608246989</v>
      </c>
      <c r="J182" s="307">
        <f>SUM($H$18:$H182)</f>
        <v>5998790.263004758</v>
      </c>
    </row>
    <row r="183" spans="1:10" ht="12.75">
      <c r="A183" s="304">
        <f t="shared" si="24"/>
        <v>166</v>
      </c>
      <c r="B183" s="305">
        <f t="shared" si="18"/>
        <v>47423</v>
      </c>
      <c r="C183" s="307">
        <f t="shared" si="25"/>
        <v>7340819.608246989</v>
      </c>
      <c r="D183" s="307">
        <f t="shared" si="19"/>
        <v>68502.19681671372</v>
      </c>
      <c r="E183" s="308">
        <f t="shared" si="20"/>
        <v>0</v>
      </c>
      <c r="F183" s="307">
        <f t="shared" si="21"/>
        <v>68502.19681671372</v>
      </c>
      <c r="G183" s="307">
        <f t="shared" si="22"/>
        <v>42503.46070417231</v>
      </c>
      <c r="H183" s="307">
        <f t="shared" si="26"/>
        <v>25998.73611254142</v>
      </c>
      <c r="I183" s="307">
        <f t="shared" si="23"/>
        <v>7298316.147542817</v>
      </c>
      <c r="J183" s="307">
        <f>SUM($H$18:$H183)</f>
        <v>6024788.9991173</v>
      </c>
    </row>
    <row r="184" spans="1:10" ht="12.75">
      <c r="A184" s="304">
        <f t="shared" si="24"/>
        <v>167</v>
      </c>
      <c r="B184" s="305">
        <f t="shared" si="18"/>
        <v>47453</v>
      </c>
      <c r="C184" s="307">
        <f t="shared" si="25"/>
        <v>7298316.147542817</v>
      </c>
      <c r="D184" s="307">
        <f t="shared" si="19"/>
        <v>68502.19681671372</v>
      </c>
      <c r="E184" s="308">
        <f t="shared" si="20"/>
        <v>0</v>
      </c>
      <c r="F184" s="307">
        <f t="shared" si="21"/>
        <v>68502.19681671372</v>
      </c>
      <c r="G184" s="307">
        <f t="shared" si="22"/>
        <v>42653.99379416625</v>
      </c>
      <c r="H184" s="307">
        <f t="shared" si="26"/>
        <v>25848.203022547477</v>
      </c>
      <c r="I184" s="307">
        <f t="shared" si="23"/>
        <v>7255662.15374865</v>
      </c>
      <c r="J184" s="307">
        <f>SUM($H$18:$H184)</f>
        <v>6050637.202139847</v>
      </c>
    </row>
    <row r="185" spans="1:10" ht="12.75">
      <c r="A185" s="304">
        <f t="shared" si="24"/>
        <v>168</v>
      </c>
      <c r="B185" s="305">
        <f t="shared" si="18"/>
        <v>47484</v>
      </c>
      <c r="C185" s="307">
        <f t="shared" si="25"/>
        <v>7255662.15374865</v>
      </c>
      <c r="D185" s="307">
        <f t="shared" si="19"/>
        <v>68502.19681671372</v>
      </c>
      <c r="E185" s="308">
        <f t="shared" si="20"/>
        <v>0</v>
      </c>
      <c r="F185" s="307">
        <f t="shared" si="21"/>
        <v>68502.19681671372</v>
      </c>
      <c r="G185" s="307">
        <f t="shared" si="22"/>
        <v>42805.06002218726</v>
      </c>
      <c r="H185" s="307">
        <f t="shared" si="26"/>
        <v>25697.13679452647</v>
      </c>
      <c r="I185" s="307">
        <f t="shared" si="23"/>
        <v>7212857.093726463</v>
      </c>
      <c r="J185" s="307">
        <f>SUM($H$18:$H185)</f>
        <v>6076334.338934373</v>
      </c>
    </row>
    <row r="186" spans="1:10" ht="12.75">
      <c r="A186" s="304">
        <f t="shared" si="24"/>
        <v>169</v>
      </c>
      <c r="B186" s="305">
        <f t="shared" si="18"/>
        <v>47515</v>
      </c>
      <c r="C186" s="307">
        <f t="shared" si="25"/>
        <v>7212857.093726463</v>
      </c>
      <c r="D186" s="307">
        <f t="shared" si="19"/>
        <v>68502.19681671372</v>
      </c>
      <c r="E186" s="308">
        <f t="shared" si="20"/>
        <v>0</v>
      </c>
      <c r="F186" s="307">
        <f t="shared" si="21"/>
        <v>68502.19681671372</v>
      </c>
      <c r="G186" s="307">
        <f t="shared" si="22"/>
        <v>42956.6612764325</v>
      </c>
      <c r="H186" s="307">
        <f t="shared" si="26"/>
        <v>25545.535540281224</v>
      </c>
      <c r="I186" s="307">
        <f t="shared" si="23"/>
        <v>7169900.43245003</v>
      </c>
      <c r="J186" s="307">
        <f>SUM($H$18:$H186)</f>
        <v>6101879.874474654</v>
      </c>
    </row>
    <row r="187" spans="1:10" ht="12.75">
      <c r="A187" s="304">
        <f t="shared" si="24"/>
        <v>170</v>
      </c>
      <c r="B187" s="305">
        <f t="shared" si="18"/>
        <v>47543</v>
      </c>
      <c r="C187" s="307">
        <f t="shared" si="25"/>
        <v>7169900.43245003</v>
      </c>
      <c r="D187" s="307">
        <f t="shared" si="19"/>
        <v>68502.19681671372</v>
      </c>
      <c r="E187" s="308">
        <f t="shared" si="20"/>
        <v>0</v>
      </c>
      <c r="F187" s="307">
        <f t="shared" si="21"/>
        <v>68502.19681671372</v>
      </c>
      <c r="G187" s="307">
        <f t="shared" si="22"/>
        <v>43108.79945178653</v>
      </c>
      <c r="H187" s="307">
        <f t="shared" si="26"/>
        <v>25393.39736492719</v>
      </c>
      <c r="I187" s="307">
        <f t="shared" si="23"/>
        <v>7126791.632998244</v>
      </c>
      <c r="J187" s="307">
        <f>SUM($H$18:$H187)</f>
        <v>6127273.271839581</v>
      </c>
    </row>
    <row r="188" spans="1:10" ht="12.75">
      <c r="A188" s="304">
        <f t="shared" si="24"/>
        <v>171</v>
      </c>
      <c r="B188" s="305">
        <f t="shared" si="18"/>
        <v>47574</v>
      </c>
      <c r="C188" s="307">
        <f t="shared" si="25"/>
        <v>7126791.632998244</v>
      </c>
      <c r="D188" s="307">
        <f t="shared" si="19"/>
        <v>68502.19681671372</v>
      </c>
      <c r="E188" s="308">
        <f t="shared" si="20"/>
        <v>0</v>
      </c>
      <c r="F188" s="307">
        <f t="shared" si="21"/>
        <v>68502.19681671372</v>
      </c>
      <c r="G188" s="307">
        <f t="shared" si="22"/>
        <v>43261.47644984494</v>
      </c>
      <c r="H188" s="307">
        <f t="shared" si="26"/>
        <v>25240.720366868783</v>
      </c>
      <c r="I188" s="307">
        <f t="shared" si="23"/>
        <v>7083530.156548399</v>
      </c>
      <c r="J188" s="307">
        <f>SUM($H$18:$H188)</f>
        <v>6152513.992206451</v>
      </c>
    </row>
    <row r="189" spans="1:10" ht="12.75">
      <c r="A189" s="304">
        <f t="shared" si="24"/>
        <v>172</v>
      </c>
      <c r="B189" s="305">
        <f t="shared" si="18"/>
        <v>47604</v>
      </c>
      <c r="C189" s="307">
        <f t="shared" si="25"/>
        <v>7083530.156548399</v>
      </c>
      <c r="D189" s="307">
        <f t="shared" si="19"/>
        <v>68502.19681671372</v>
      </c>
      <c r="E189" s="308">
        <f t="shared" si="20"/>
        <v>0</v>
      </c>
      <c r="F189" s="307">
        <f t="shared" si="21"/>
        <v>68502.19681671372</v>
      </c>
      <c r="G189" s="307">
        <f t="shared" si="22"/>
        <v>43414.69417893814</v>
      </c>
      <c r="H189" s="307">
        <f t="shared" si="26"/>
        <v>25087.502637775582</v>
      </c>
      <c r="I189" s="307">
        <f t="shared" si="23"/>
        <v>7040115.462369461</v>
      </c>
      <c r="J189" s="307">
        <f>SUM($H$18:$H189)</f>
        <v>6177601.494844226</v>
      </c>
    </row>
    <row r="190" spans="1:10" ht="12.75">
      <c r="A190" s="304">
        <f t="shared" si="24"/>
        <v>173</v>
      </c>
      <c r="B190" s="305">
        <f t="shared" si="18"/>
        <v>47635</v>
      </c>
      <c r="C190" s="307">
        <f t="shared" si="25"/>
        <v>7040115.462369461</v>
      </c>
      <c r="D190" s="307">
        <f t="shared" si="19"/>
        <v>68502.19681671372</v>
      </c>
      <c r="E190" s="308">
        <f t="shared" si="20"/>
        <v>0</v>
      </c>
      <c r="F190" s="307">
        <f t="shared" si="21"/>
        <v>68502.19681671372</v>
      </c>
      <c r="G190" s="307">
        <f t="shared" si="22"/>
        <v>43568.45455415522</v>
      </c>
      <c r="H190" s="307">
        <f t="shared" si="26"/>
        <v>24933.742262558506</v>
      </c>
      <c r="I190" s="307">
        <f t="shared" si="23"/>
        <v>6996547.007815305</v>
      </c>
      <c r="J190" s="307">
        <f>SUM($H$18:$H190)</f>
        <v>6202535.237106784</v>
      </c>
    </row>
    <row r="191" spans="1:10" ht="12.75">
      <c r="A191" s="304">
        <f t="shared" si="24"/>
        <v>174</v>
      </c>
      <c r="B191" s="305">
        <f t="shared" si="18"/>
        <v>47665</v>
      </c>
      <c r="C191" s="307">
        <f t="shared" si="25"/>
        <v>6996547.007815305</v>
      </c>
      <c r="D191" s="307">
        <f t="shared" si="19"/>
        <v>68502.19681671372</v>
      </c>
      <c r="E191" s="308">
        <f t="shared" si="20"/>
        <v>0</v>
      </c>
      <c r="F191" s="307">
        <f t="shared" si="21"/>
        <v>68502.19681671372</v>
      </c>
      <c r="G191" s="307">
        <f t="shared" si="22"/>
        <v>43722.75949736785</v>
      </c>
      <c r="H191" s="307">
        <f t="shared" si="26"/>
        <v>24779.437319345874</v>
      </c>
      <c r="I191" s="307">
        <f t="shared" si="23"/>
        <v>6952824.248317937</v>
      </c>
      <c r="J191" s="307">
        <f>SUM($H$18:$H191)</f>
        <v>6227314.67442613</v>
      </c>
    </row>
    <row r="192" spans="1:10" ht="12.75">
      <c r="A192" s="304">
        <f t="shared" si="24"/>
        <v>175</v>
      </c>
      <c r="B192" s="305">
        <f t="shared" si="18"/>
        <v>47696</v>
      </c>
      <c r="C192" s="307">
        <f t="shared" si="25"/>
        <v>6952824.248317937</v>
      </c>
      <c r="D192" s="307">
        <f t="shared" si="19"/>
        <v>68502.19681671372</v>
      </c>
      <c r="E192" s="308">
        <f t="shared" si="20"/>
        <v>0</v>
      </c>
      <c r="F192" s="307">
        <f t="shared" si="21"/>
        <v>68502.19681671372</v>
      </c>
      <c r="G192" s="307">
        <f t="shared" si="22"/>
        <v>43877.61093725436</v>
      </c>
      <c r="H192" s="307">
        <f t="shared" si="26"/>
        <v>24624.585879459362</v>
      </c>
      <c r="I192" s="307">
        <f t="shared" si="23"/>
        <v>6908946.637380683</v>
      </c>
      <c r="J192" s="307">
        <f>SUM($H$18:$H192)</f>
        <v>6251939.260305589</v>
      </c>
    </row>
    <row r="193" spans="1:10" ht="12.75">
      <c r="A193" s="304">
        <f t="shared" si="24"/>
        <v>176</v>
      </c>
      <c r="B193" s="305">
        <f t="shared" si="18"/>
        <v>47727</v>
      </c>
      <c r="C193" s="307">
        <f t="shared" si="25"/>
        <v>6908946.637380683</v>
      </c>
      <c r="D193" s="307">
        <f t="shared" si="19"/>
        <v>68502.19681671372</v>
      </c>
      <c r="E193" s="308">
        <f t="shared" si="20"/>
        <v>0</v>
      </c>
      <c r="F193" s="307">
        <f t="shared" si="21"/>
        <v>68502.19681671372</v>
      </c>
      <c r="G193" s="307">
        <f t="shared" si="22"/>
        <v>44033.01080932381</v>
      </c>
      <c r="H193" s="307">
        <f t="shared" si="26"/>
        <v>24469.18600738992</v>
      </c>
      <c r="I193" s="307">
        <f t="shared" si="23"/>
        <v>6864913.626571359</v>
      </c>
      <c r="J193" s="307">
        <f>SUM($H$18:$H193)</f>
        <v>6276408.446312979</v>
      </c>
    </row>
    <row r="194" spans="1:10" ht="12.75">
      <c r="A194" s="304">
        <f t="shared" si="24"/>
        <v>177</v>
      </c>
      <c r="B194" s="305">
        <f t="shared" si="18"/>
        <v>47757</v>
      </c>
      <c r="C194" s="307">
        <f t="shared" si="25"/>
        <v>6864913.626571359</v>
      </c>
      <c r="D194" s="307">
        <f t="shared" si="19"/>
        <v>68502.19681671372</v>
      </c>
      <c r="E194" s="308">
        <f t="shared" si="20"/>
        <v>0</v>
      </c>
      <c r="F194" s="307">
        <f t="shared" si="21"/>
        <v>68502.19681671372</v>
      </c>
      <c r="G194" s="307">
        <f t="shared" si="22"/>
        <v>44188.96105594016</v>
      </c>
      <c r="H194" s="307">
        <f t="shared" si="26"/>
        <v>24313.235760773565</v>
      </c>
      <c r="I194" s="307">
        <f t="shared" si="23"/>
        <v>6820724.665515419</v>
      </c>
      <c r="J194" s="307">
        <f>SUM($H$18:$H194)</f>
        <v>6300721.682073752</v>
      </c>
    </row>
    <row r="195" spans="1:10" ht="12.75">
      <c r="A195" s="304">
        <f t="shared" si="24"/>
        <v>178</v>
      </c>
      <c r="B195" s="305">
        <f t="shared" si="18"/>
        <v>47788</v>
      </c>
      <c r="C195" s="307">
        <f t="shared" si="25"/>
        <v>6820724.665515419</v>
      </c>
      <c r="D195" s="307">
        <f t="shared" si="19"/>
        <v>68502.19681671372</v>
      </c>
      <c r="E195" s="308">
        <f t="shared" si="20"/>
        <v>0</v>
      </c>
      <c r="F195" s="307">
        <f t="shared" si="21"/>
        <v>68502.19681671372</v>
      </c>
      <c r="G195" s="307">
        <f t="shared" si="22"/>
        <v>44345.46362634661</v>
      </c>
      <c r="H195" s="307">
        <f t="shared" si="26"/>
        <v>24156.73319036711</v>
      </c>
      <c r="I195" s="307">
        <f t="shared" si="23"/>
        <v>6776379.201889073</v>
      </c>
      <c r="J195" s="307">
        <f>SUM($H$18:$H195)</f>
        <v>6324878.415264119</v>
      </c>
    </row>
    <row r="196" spans="1:10" ht="12.75">
      <c r="A196" s="304">
        <f t="shared" si="24"/>
        <v>179</v>
      </c>
      <c r="B196" s="305">
        <f t="shared" si="18"/>
        <v>47818</v>
      </c>
      <c r="C196" s="307">
        <f t="shared" si="25"/>
        <v>6776379.201889073</v>
      </c>
      <c r="D196" s="307">
        <f t="shared" si="19"/>
        <v>68502.19681671372</v>
      </c>
      <c r="E196" s="308">
        <f t="shared" si="20"/>
        <v>0</v>
      </c>
      <c r="F196" s="307">
        <f t="shared" si="21"/>
        <v>68502.19681671372</v>
      </c>
      <c r="G196" s="307">
        <f t="shared" si="22"/>
        <v>44502.520476689926</v>
      </c>
      <c r="H196" s="307">
        <f t="shared" si="26"/>
        <v>23999.6763400238</v>
      </c>
      <c r="I196" s="307">
        <f t="shared" si="23"/>
        <v>6731876.681412383</v>
      </c>
      <c r="J196" s="307">
        <f>SUM($H$18:$H196)</f>
        <v>6348878.091604143</v>
      </c>
    </row>
    <row r="197" spans="1:10" ht="12.75">
      <c r="A197" s="304">
        <f t="shared" si="24"/>
        <v>180</v>
      </c>
      <c r="B197" s="305">
        <f t="shared" si="18"/>
        <v>47849</v>
      </c>
      <c r="C197" s="307">
        <f t="shared" si="25"/>
        <v>6731876.681412383</v>
      </c>
      <c r="D197" s="307">
        <f t="shared" si="19"/>
        <v>68502.19681671372</v>
      </c>
      <c r="E197" s="308">
        <f t="shared" si="20"/>
        <v>0</v>
      </c>
      <c r="F197" s="307">
        <f t="shared" si="21"/>
        <v>68502.19681671372</v>
      </c>
      <c r="G197" s="307">
        <f t="shared" si="22"/>
        <v>44660.13357004487</v>
      </c>
      <c r="H197" s="307">
        <f t="shared" si="26"/>
        <v>23842.06324666886</v>
      </c>
      <c r="I197" s="307">
        <f t="shared" si="23"/>
        <v>6687216.547842338</v>
      </c>
      <c r="J197" s="307">
        <f>SUM($H$18:$H197)</f>
        <v>6372720.154850813</v>
      </c>
    </row>
    <row r="198" spans="1:10" ht="12.75">
      <c r="A198" s="304">
        <f t="shared" si="24"/>
        <v>181</v>
      </c>
      <c r="B198" s="305">
        <f t="shared" si="18"/>
        <v>47880</v>
      </c>
      <c r="C198" s="307">
        <f t="shared" si="25"/>
        <v>6687216.547842338</v>
      </c>
      <c r="D198" s="307">
        <f t="shared" si="19"/>
        <v>68502.19681671372</v>
      </c>
      <c r="E198" s="308">
        <f t="shared" si="20"/>
        <v>0</v>
      </c>
      <c r="F198" s="307">
        <f t="shared" si="21"/>
        <v>68502.19681671372</v>
      </c>
      <c r="G198" s="307">
        <f t="shared" si="22"/>
        <v>44818.30487643878</v>
      </c>
      <c r="H198" s="307">
        <f t="shared" si="26"/>
        <v>23683.89194027495</v>
      </c>
      <c r="I198" s="307">
        <f t="shared" si="23"/>
        <v>6642398.242965899</v>
      </c>
      <c r="J198" s="307">
        <f>SUM($H$18:$H198)</f>
        <v>6396404.046791088</v>
      </c>
    </row>
    <row r="199" spans="1:10" ht="12.75">
      <c r="A199" s="304">
        <f t="shared" si="24"/>
        <v>182</v>
      </c>
      <c r="B199" s="305">
        <f t="shared" si="18"/>
        <v>47908</v>
      </c>
      <c r="C199" s="307">
        <f t="shared" si="25"/>
        <v>6642398.242965899</v>
      </c>
      <c r="D199" s="307">
        <f t="shared" si="19"/>
        <v>68502.19681671372</v>
      </c>
      <c r="E199" s="308">
        <f t="shared" si="20"/>
        <v>0</v>
      </c>
      <c r="F199" s="307">
        <f t="shared" si="21"/>
        <v>68502.19681671372</v>
      </c>
      <c r="G199" s="307">
        <f t="shared" si="22"/>
        <v>44977.03637287616</v>
      </c>
      <c r="H199" s="307">
        <f t="shared" si="26"/>
        <v>23525.16044383756</v>
      </c>
      <c r="I199" s="307">
        <f t="shared" si="23"/>
        <v>6597421.206593024</v>
      </c>
      <c r="J199" s="307">
        <f>SUM($H$18:$H199)</f>
        <v>6419929.207234926</v>
      </c>
    </row>
    <row r="200" spans="1:10" ht="12.75">
      <c r="A200" s="304">
        <f t="shared" si="24"/>
        <v>183</v>
      </c>
      <c r="B200" s="305">
        <f t="shared" si="18"/>
        <v>47939</v>
      </c>
      <c r="C200" s="307">
        <f t="shared" si="25"/>
        <v>6597421.206593024</v>
      </c>
      <c r="D200" s="307">
        <f t="shared" si="19"/>
        <v>68502.19681671372</v>
      </c>
      <c r="E200" s="308">
        <f t="shared" si="20"/>
        <v>0</v>
      </c>
      <c r="F200" s="307">
        <f t="shared" si="21"/>
        <v>68502.19681671372</v>
      </c>
      <c r="G200" s="307">
        <f t="shared" si="22"/>
        <v>45136.33004336343</v>
      </c>
      <c r="H200" s="307">
        <f t="shared" si="26"/>
        <v>23365.866773350295</v>
      </c>
      <c r="I200" s="307">
        <f t="shared" si="23"/>
        <v>6552284.87654966</v>
      </c>
      <c r="J200" s="307">
        <f>SUM($H$18:$H200)</f>
        <v>6443295.074008276</v>
      </c>
    </row>
    <row r="201" spans="1:10" ht="12.75">
      <c r="A201" s="304">
        <f t="shared" si="24"/>
        <v>184</v>
      </c>
      <c r="B201" s="305">
        <f t="shared" si="18"/>
        <v>47969</v>
      </c>
      <c r="C201" s="307">
        <f t="shared" si="25"/>
        <v>6552284.87654966</v>
      </c>
      <c r="D201" s="307">
        <f t="shared" si="19"/>
        <v>68502.19681671372</v>
      </c>
      <c r="E201" s="308">
        <f t="shared" si="20"/>
        <v>0</v>
      </c>
      <c r="F201" s="307">
        <f t="shared" si="21"/>
        <v>68502.19681671372</v>
      </c>
      <c r="G201" s="307">
        <f t="shared" si="22"/>
        <v>45296.18787893368</v>
      </c>
      <c r="H201" s="307">
        <f t="shared" si="26"/>
        <v>23206.008937780047</v>
      </c>
      <c r="I201" s="307">
        <f t="shared" si="23"/>
        <v>6506988.6886707265</v>
      </c>
      <c r="J201" s="307">
        <f>SUM($H$18:$H201)</f>
        <v>6466501.082946056</v>
      </c>
    </row>
    <row r="202" spans="1:10" ht="12.75">
      <c r="A202" s="304">
        <f t="shared" si="24"/>
        <v>185</v>
      </c>
      <c r="B202" s="305">
        <f t="shared" si="18"/>
        <v>48000</v>
      </c>
      <c r="C202" s="307">
        <f t="shared" si="25"/>
        <v>6506988.6886707265</v>
      </c>
      <c r="D202" s="307">
        <f t="shared" si="19"/>
        <v>68502.19681671372</v>
      </c>
      <c r="E202" s="308">
        <f t="shared" si="20"/>
        <v>0</v>
      </c>
      <c r="F202" s="307">
        <f t="shared" si="21"/>
        <v>68502.19681671372</v>
      </c>
      <c r="G202" s="307">
        <f t="shared" si="22"/>
        <v>45456.61187767156</v>
      </c>
      <c r="H202" s="307">
        <f t="shared" si="26"/>
        <v>23045.58493904216</v>
      </c>
      <c r="I202" s="307">
        <f t="shared" si="23"/>
        <v>6461532.076793055</v>
      </c>
      <c r="J202" s="307">
        <f>SUM($H$18:$H202)</f>
        <v>6489546.667885098</v>
      </c>
    </row>
    <row r="203" spans="1:10" ht="12.75">
      <c r="A203" s="304">
        <f t="shared" si="24"/>
        <v>186</v>
      </c>
      <c r="B203" s="305">
        <f t="shared" si="18"/>
        <v>48030</v>
      </c>
      <c r="C203" s="307">
        <f t="shared" si="25"/>
        <v>6461532.076793055</v>
      </c>
      <c r="D203" s="307">
        <f t="shared" si="19"/>
        <v>68502.19681671372</v>
      </c>
      <c r="E203" s="308">
        <f t="shared" si="20"/>
        <v>0</v>
      </c>
      <c r="F203" s="307">
        <f t="shared" si="21"/>
        <v>68502.19681671372</v>
      </c>
      <c r="G203" s="307">
        <f t="shared" si="22"/>
        <v>45617.60404473831</v>
      </c>
      <c r="H203" s="307">
        <f t="shared" si="26"/>
        <v>22884.592771975407</v>
      </c>
      <c r="I203" s="307">
        <f t="shared" si="23"/>
        <v>6415914.472748317</v>
      </c>
      <c r="J203" s="307">
        <f>SUM($H$18:$H203)</f>
        <v>6512431.260657073</v>
      </c>
    </row>
    <row r="204" spans="1:10" ht="12.75">
      <c r="A204" s="304">
        <f t="shared" si="24"/>
        <v>187</v>
      </c>
      <c r="B204" s="305">
        <f t="shared" si="18"/>
        <v>48061</v>
      </c>
      <c r="C204" s="307">
        <f t="shared" si="25"/>
        <v>6415914.472748317</v>
      </c>
      <c r="D204" s="307">
        <f t="shared" si="19"/>
        <v>68502.19681671372</v>
      </c>
      <c r="E204" s="308">
        <f t="shared" si="20"/>
        <v>0</v>
      </c>
      <c r="F204" s="307">
        <f t="shared" si="21"/>
        <v>68502.19681671372</v>
      </c>
      <c r="G204" s="307">
        <f t="shared" si="22"/>
        <v>45779.16639239677</v>
      </c>
      <c r="H204" s="307">
        <f t="shared" si="26"/>
        <v>22723.030424316956</v>
      </c>
      <c r="I204" s="307">
        <f t="shared" si="23"/>
        <v>6370135.30635592</v>
      </c>
      <c r="J204" s="307">
        <f>SUM($H$18:$H204)</f>
        <v>6535154.29108139</v>
      </c>
    </row>
    <row r="205" spans="1:10" ht="12.75">
      <c r="A205" s="304">
        <f t="shared" si="24"/>
        <v>188</v>
      </c>
      <c r="B205" s="305">
        <f t="shared" si="18"/>
        <v>48092</v>
      </c>
      <c r="C205" s="307">
        <f t="shared" si="25"/>
        <v>6370135.30635592</v>
      </c>
      <c r="D205" s="307">
        <f t="shared" si="19"/>
        <v>68502.19681671372</v>
      </c>
      <c r="E205" s="308">
        <f t="shared" si="20"/>
        <v>0</v>
      </c>
      <c r="F205" s="307">
        <f t="shared" si="21"/>
        <v>68502.19681671372</v>
      </c>
      <c r="G205" s="307">
        <f t="shared" si="22"/>
        <v>45941.30094003651</v>
      </c>
      <c r="H205" s="307">
        <f t="shared" si="26"/>
        <v>22560.895876677216</v>
      </c>
      <c r="I205" s="307">
        <f t="shared" si="23"/>
        <v>6324194.005415883</v>
      </c>
      <c r="J205" s="307">
        <f>SUM($H$18:$H205)</f>
        <v>6557715.186958067</v>
      </c>
    </row>
    <row r="206" spans="1:10" ht="12.75">
      <c r="A206" s="304">
        <f t="shared" si="24"/>
        <v>189</v>
      </c>
      <c r="B206" s="305">
        <f t="shared" si="18"/>
        <v>48122</v>
      </c>
      <c r="C206" s="307">
        <f t="shared" si="25"/>
        <v>6324194.005415883</v>
      </c>
      <c r="D206" s="307">
        <f t="shared" si="19"/>
        <v>68502.19681671372</v>
      </c>
      <c r="E206" s="308">
        <f t="shared" si="20"/>
        <v>0</v>
      </c>
      <c r="F206" s="307">
        <f t="shared" si="21"/>
        <v>68502.19681671372</v>
      </c>
      <c r="G206" s="307">
        <f t="shared" si="22"/>
        <v>46104.00971419914</v>
      </c>
      <c r="H206" s="307">
        <f t="shared" si="26"/>
        <v>22398.187102514585</v>
      </c>
      <c r="I206" s="307">
        <f t="shared" si="23"/>
        <v>6278089.995701684</v>
      </c>
      <c r="J206" s="307">
        <f>SUM($H$18:$H206)</f>
        <v>6580113.374060581</v>
      </c>
    </row>
    <row r="207" spans="1:10" ht="12.75">
      <c r="A207" s="304">
        <f t="shared" si="24"/>
        <v>190</v>
      </c>
      <c r="B207" s="305">
        <f t="shared" si="18"/>
        <v>48153</v>
      </c>
      <c r="C207" s="307">
        <f t="shared" si="25"/>
        <v>6278089.995701684</v>
      </c>
      <c r="D207" s="307">
        <f t="shared" si="19"/>
        <v>68502.19681671372</v>
      </c>
      <c r="E207" s="308">
        <f t="shared" si="20"/>
        <v>0</v>
      </c>
      <c r="F207" s="307">
        <f t="shared" si="21"/>
        <v>68502.19681671372</v>
      </c>
      <c r="G207" s="307">
        <f t="shared" si="22"/>
        <v>46267.2947486036</v>
      </c>
      <c r="H207" s="307">
        <f t="shared" si="26"/>
        <v>22234.90206811013</v>
      </c>
      <c r="I207" s="307">
        <f t="shared" si="23"/>
        <v>6231822.70095308</v>
      </c>
      <c r="J207" s="307">
        <f>SUM($H$18:$H207)</f>
        <v>6602348.276128692</v>
      </c>
    </row>
    <row r="208" spans="1:10" ht="12.75">
      <c r="A208" s="304">
        <f t="shared" si="24"/>
        <v>191</v>
      </c>
      <c r="B208" s="305">
        <f t="shared" si="18"/>
        <v>48183</v>
      </c>
      <c r="C208" s="307">
        <f t="shared" si="25"/>
        <v>6231822.70095308</v>
      </c>
      <c r="D208" s="307">
        <f t="shared" si="19"/>
        <v>68502.19681671372</v>
      </c>
      <c r="E208" s="308">
        <f t="shared" si="20"/>
        <v>0</v>
      </c>
      <c r="F208" s="307">
        <f t="shared" si="21"/>
        <v>68502.19681671372</v>
      </c>
      <c r="G208" s="307">
        <f t="shared" si="22"/>
        <v>46431.15808417156</v>
      </c>
      <c r="H208" s="307">
        <f t="shared" si="26"/>
        <v>22071.03873254216</v>
      </c>
      <c r="I208" s="307">
        <f t="shared" si="23"/>
        <v>6185391.5428689085</v>
      </c>
      <c r="J208" s="307">
        <f>SUM($H$18:$H208)</f>
        <v>6624419.314861233</v>
      </c>
    </row>
    <row r="209" spans="1:10" ht="12.75">
      <c r="A209" s="304">
        <f t="shared" si="24"/>
        <v>192</v>
      </c>
      <c r="B209" s="305">
        <f t="shared" si="18"/>
        <v>48214</v>
      </c>
      <c r="C209" s="307">
        <f t="shared" si="25"/>
        <v>6185391.5428689085</v>
      </c>
      <c r="D209" s="307">
        <f t="shared" si="19"/>
        <v>68502.19681671372</v>
      </c>
      <c r="E209" s="308">
        <f t="shared" si="20"/>
        <v>0</v>
      </c>
      <c r="F209" s="307">
        <f t="shared" si="21"/>
        <v>68502.19681671372</v>
      </c>
      <c r="G209" s="307">
        <f t="shared" si="22"/>
        <v>46595.601769053</v>
      </c>
      <c r="H209" s="307">
        <f t="shared" si="26"/>
        <v>21906.59504766072</v>
      </c>
      <c r="I209" s="307">
        <f t="shared" si="23"/>
        <v>6138795.941099855</v>
      </c>
      <c r="J209" s="307">
        <f>SUM($H$18:$H209)</f>
        <v>6646325.909908894</v>
      </c>
    </row>
    <row r="210" spans="1:10" ht="12.75">
      <c r="A210" s="304">
        <f t="shared" si="24"/>
        <v>193</v>
      </c>
      <c r="B210" s="305">
        <f aca="true" t="shared" si="27" ref="B210:B273">IF(Pay_Num_3&lt;&gt;"",DATE(YEAR(Loan_Start_3),MONTH(Loan_Start_3)+(Pay_Num_3)*12/Num_Pmt_Per_Year_3,DAY(Loan_Start_3)),"")</f>
        <v>48245</v>
      </c>
      <c r="C210" s="307">
        <f t="shared" si="25"/>
        <v>6138795.941099855</v>
      </c>
      <c r="D210" s="307">
        <f aca="true" t="shared" si="28" ref="D210:D273">IF(Pay_Num_3&lt;&gt;"",Scheduled_Monthly_Payment_3,"")</f>
        <v>68502.19681671372</v>
      </c>
      <c r="E210" s="308">
        <f aca="true" t="shared" si="29" ref="E210:E273">IF(AND(Pay_Num_3&lt;&gt;"",Sched_Pay_3+Scheduled_Extra_Payments_3&lt;Beg_Bal_3),Scheduled_Extra_Payments_3,IF(AND(Pay_Num_3&lt;&gt;"",Beg_Bal_3-Sched_Pay_3&gt;0),Beg_Bal_3-Sched_Pay_3,IF(Pay_Num_3&lt;&gt;"",0,"")))</f>
        <v>0</v>
      </c>
      <c r="F210" s="307">
        <f aca="true" t="shared" si="30" ref="F210:F273">IF(AND(Pay_Num_3&lt;&gt;"",Sched_Pay_3+Extra_Pay_3&lt;Beg_Bal_3),Sched_Pay_3+Extra_Pay_3,IF(Pay_Num_3&lt;&gt;"",Beg_Bal_3,""))</f>
        <v>68502.19681671372</v>
      </c>
      <c r="G210" s="307">
        <f aca="true" t="shared" si="31" ref="G210:G273">IF(Pay_Num_3&lt;&gt;"",Total_Pay_3-Int_3,"")</f>
        <v>46760.62785865174</v>
      </c>
      <c r="H210" s="307">
        <f t="shared" si="26"/>
        <v>21741.568958061987</v>
      </c>
      <c r="I210" s="307">
        <f aca="true" t="shared" si="32" ref="I210:I273">IF(AND(Pay_Num_3&lt;&gt;"",Sched_Pay_3+Extra_Pay_3&lt;Beg_Bal_3),Beg_Bal_3-Princ_3,IF(Pay_Num_3&lt;&gt;"",0,""))</f>
        <v>6092035.313241203</v>
      </c>
      <c r="J210" s="307">
        <f>SUM($H$18:$H210)</f>
        <v>6668067.478866956</v>
      </c>
    </row>
    <row r="211" spans="1:10" ht="12.75">
      <c r="A211" s="304">
        <f aca="true" t="shared" si="33" ref="A211:A274">IF(Values_Entered_3,A210+1,"")</f>
        <v>194</v>
      </c>
      <c r="B211" s="305">
        <f t="shared" si="27"/>
        <v>48274</v>
      </c>
      <c r="C211" s="307">
        <f aca="true" t="shared" si="34" ref="C211:C274">IF(Pay_Num_3&lt;&gt;"",I210,"")</f>
        <v>6092035.313241203</v>
      </c>
      <c r="D211" s="307">
        <f t="shared" si="28"/>
        <v>68502.19681671372</v>
      </c>
      <c r="E211" s="308">
        <f t="shared" si="29"/>
        <v>0</v>
      </c>
      <c r="F211" s="307">
        <f t="shared" si="30"/>
        <v>68502.19681671372</v>
      </c>
      <c r="G211" s="307">
        <f t="shared" si="31"/>
        <v>46926.238415651125</v>
      </c>
      <c r="H211" s="307">
        <f aca="true" t="shared" si="35" ref="H211:H274">IF(Pay_Num_3&lt;&gt;"",Beg_Bal_3*Interest_Rate_3/Num_Pmt_Per_Year_3,"")</f>
        <v>21575.958401062595</v>
      </c>
      <c r="I211" s="307">
        <f t="shared" si="32"/>
        <v>6045109.074825552</v>
      </c>
      <c r="J211" s="307">
        <f>SUM($H$18:$H211)</f>
        <v>6689643.437268019</v>
      </c>
    </row>
    <row r="212" spans="1:10" ht="12.75">
      <c r="A212" s="304">
        <f t="shared" si="33"/>
        <v>195</v>
      </c>
      <c r="B212" s="305">
        <f t="shared" si="27"/>
        <v>48305</v>
      </c>
      <c r="C212" s="307">
        <f t="shared" si="34"/>
        <v>6045109.074825552</v>
      </c>
      <c r="D212" s="307">
        <f t="shared" si="28"/>
        <v>68502.19681671372</v>
      </c>
      <c r="E212" s="308">
        <f t="shared" si="29"/>
        <v>0</v>
      </c>
      <c r="F212" s="307">
        <f t="shared" si="30"/>
        <v>68502.19681671372</v>
      </c>
      <c r="G212" s="307">
        <f t="shared" si="31"/>
        <v>47092.4355100399</v>
      </c>
      <c r="H212" s="307">
        <f t="shared" si="35"/>
        <v>21409.76130667383</v>
      </c>
      <c r="I212" s="307">
        <f t="shared" si="32"/>
        <v>5998016.639315512</v>
      </c>
      <c r="J212" s="307">
        <f>SUM($H$18:$H212)</f>
        <v>6711053.198574693</v>
      </c>
    </row>
    <row r="213" spans="1:10" ht="12.75">
      <c r="A213" s="304">
        <f t="shared" si="33"/>
        <v>196</v>
      </c>
      <c r="B213" s="305">
        <f t="shared" si="27"/>
        <v>48335</v>
      </c>
      <c r="C213" s="307">
        <f t="shared" si="34"/>
        <v>5998016.639315512</v>
      </c>
      <c r="D213" s="307">
        <f t="shared" si="28"/>
        <v>68502.19681671372</v>
      </c>
      <c r="E213" s="308">
        <f t="shared" si="29"/>
        <v>0</v>
      </c>
      <c r="F213" s="307">
        <f t="shared" si="30"/>
        <v>68502.19681671372</v>
      </c>
      <c r="G213" s="307">
        <f t="shared" si="31"/>
        <v>47259.22121913795</v>
      </c>
      <c r="H213" s="307">
        <f t="shared" si="35"/>
        <v>21242.975597575773</v>
      </c>
      <c r="I213" s="307">
        <f t="shared" si="32"/>
        <v>5950757.418096374</v>
      </c>
      <c r="J213" s="307">
        <f>SUM($H$18:$H213)</f>
        <v>6732296.174172269</v>
      </c>
    </row>
    <row r="214" spans="1:10" ht="12.75">
      <c r="A214" s="304">
        <f t="shared" si="33"/>
        <v>197</v>
      </c>
      <c r="B214" s="305">
        <f t="shared" si="27"/>
        <v>48366</v>
      </c>
      <c r="C214" s="307">
        <f t="shared" si="34"/>
        <v>5950757.418096374</v>
      </c>
      <c r="D214" s="307">
        <f t="shared" si="28"/>
        <v>68502.19681671372</v>
      </c>
      <c r="E214" s="308">
        <f t="shared" si="29"/>
        <v>0</v>
      </c>
      <c r="F214" s="307">
        <f t="shared" si="30"/>
        <v>68502.19681671372</v>
      </c>
      <c r="G214" s="307">
        <f t="shared" si="31"/>
        <v>47426.597627622396</v>
      </c>
      <c r="H214" s="307">
        <f t="shared" si="35"/>
        <v>21075.599189091325</v>
      </c>
      <c r="I214" s="307">
        <f t="shared" si="32"/>
        <v>5903330.820468752</v>
      </c>
      <c r="J214" s="307">
        <f>SUM($H$18:$H214)</f>
        <v>6753371.773361361</v>
      </c>
    </row>
    <row r="215" spans="1:10" ht="12.75">
      <c r="A215" s="304">
        <f t="shared" si="33"/>
        <v>198</v>
      </c>
      <c r="B215" s="305">
        <f t="shared" si="27"/>
        <v>48396</v>
      </c>
      <c r="C215" s="307">
        <f t="shared" si="34"/>
        <v>5903330.820468752</v>
      </c>
      <c r="D215" s="307">
        <f t="shared" si="28"/>
        <v>68502.19681671372</v>
      </c>
      <c r="E215" s="308">
        <f t="shared" si="29"/>
        <v>0</v>
      </c>
      <c r="F215" s="307">
        <f t="shared" si="30"/>
        <v>68502.19681671372</v>
      </c>
      <c r="G215" s="307">
        <f t="shared" si="31"/>
        <v>47594.56682755356</v>
      </c>
      <c r="H215" s="307">
        <f t="shared" si="35"/>
        <v>20907.629989160163</v>
      </c>
      <c r="I215" s="307">
        <f t="shared" si="32"/>
        <v>5855736.253641198</v>
      </c>
      <c r="J215" s="307">
        <f>SUM($H$18:$H215)</f>
        <v>6774279.403350521</v>
      </c>
    </row>
    <row r="216" spans="1:10" ht="12.75">
      <c r="A216" s="304">
        <f t="shared" si="33"/>
        <v>199</v>
      </c>
      <c r="B216" s="305">
        <f t="shared" si="27"/>
        <v>48427</v>
      </c>
      <c r="C216" s="307">
        <f t="shared" si="34"/>
        <v>5855736.253641198</v>
      </c>
      <c r="D216" s="307">
        <f t="shared" si="28"/>
        <v>68502.19681671372</v>
      </c>
      <c r="E216" s="308">
        <f t="shared" si="29"/>
        <v>0</v>
      </c>
      <c r="F216" s="307">
        <f t="shared" si="30"/>
        <v>68502.19681671372</v>
      </c>
      <c r="G216" s="307">
        <f t="shared" si="31"/>
        <v>47763.13091840115</v>
      </c>
      <c r="H216" s="307">
        <f t="shared" si="35"/>
        <v>20739.06589831258</v>
      </c>
      <c r="I216" s="307">
        <f t="shared" si="32"/>
        <v>5807973.122722797</v>
      </c>
      <c r="J216" s="307">
        <f>SUM($H$18:$H216)</f>
        <v>6795018.469248833</v>
      </c>
    </row>
    <row r="217" spans="1:10" ht="12.75">
      <c r="A217" s="304">
        <f t="shared" si="33"/>
        <v>200</v>
      </c>
      <c r="B217" s="305">
        <f t="shared" si="27"/>
        <v>48458</v>
      </c>
      <c r="C217" s="307">
        <f t="shared" si="34"/>
        <v>5807973.122722797</v>
      </c>
      <c r="D217" s="307">
        <f t="shared" si="28"/>
        <v>68502.19681671372</v>
      </c>
      <c r="E217" s="308">
        <f t="shared" si="29"/>
        <v>0</v>
      </c>
      <c r="F217" s="307">
        <f t="shared" si="30"/>
        <v>68502.19681671372</v>
      </c>
      <c r="G217" s="307">
        <f t="shared" si="31"/>
        <v>47932.292007070486</v>
      </c>
      <c r="H217" s="307">
        <f t="shared" si="35"/>
        <v>20569.90480964324</v>
      </c>
      <c r="I217" s="307">
        <f t="shared" si="32"/>
        <v>5760040.830715727</v>
      </c>
      <c r="J217" s="307">
        <f>SUM($H$18:$H217)</f>
        <v>6815588.374058477</v>
      </c>
    </row>
    <row r="218" spans="1:10" ht="12.75">
      <c r="A218" s="304">
        <f t="shared" si="33"/>
        <v>201</v>
      </c>
      <c r="B218" s="305">
        <f t="shared" si="27"/>
        <v>48488</v>
      </c>
      <c r="C218" s="307">
        <f t="shared" si="34"/>
        <v>5760040.830715727</v>
      </c>
      <c r="D218" s="307">
        <f t="shared" si="28"/>
        <v>68502.19681671372</v>
      </c>
      <c r="E218" s="308">
        <f t="shared" si="29"/>
        <v>0</v>
      </c>
      <c r="F218" s="307">
        <f t="shared" si="30"/>
        <v>68502.19681671372</v>
      </c>
      <c r="G218" s="307">
        <f t="shared" si="31"/>
        <v>48102.05220792886</v>
      </c>
      <c r="H218" s="307">
        <f t="shared" si="35"/>
        <v>20400.144608784867</v>
      </c>
      <c r="I218" s="307">
        <f t="shared" si="32"/>
        <v>5711938.778507798</v>
      </c>
      <c r="J218" s="307">
        <f>SUM($H$18:$H218)</f>
        <v>6835988.518667261</v>
      </c>
    </row>
    <row r="219" spans="1:10" ht="12.75">
      <c r="A219" s="304">
        <f t="shared" si="33"/>
        <v>202</v>
      </c>
      <c r="B219" s="305">
        <f t="shared" si="27"/>
        <v>48519</v>
      </c>
      <c r="C219" s="307">
        <f t="shared" si="34"/>
        <v>5711938.778507798</v>
      </c>
      <c r="D219" s="307">
        <f t="shared" si="28"/>
        <v>68502.19681671372</v>
      </c>
      <c r="E219" s="308">
        <f t="shared" si="29"/>
        <v>0</v>
      </c>
      <c r="F219" s="307">
        <f t="shared" si="30"/>
        <v>68502.19681671372</v>
      </c>
      <c r="G219" s="307">
        <f t="shared" si="31"/>
        <v>48272.41364283193</v>
      </c>
      <c r="H219" s="307">
        <f t="shared" si="35"/>
        <v>20229.783173881788</v>
      </c>
      <c r="I219" s="307">
        <f t="shared" si="32"/>
        <v>5663666.364864966</v>
      </c>
      <c r="J219" s="307">
        <f>SUM($H$18:$H219)</f>
        <v>6856218.301841143</v>
      </c>
    </row>
    <row r="220" spans="1:10" ht="12.75">
      <c r="A220" s="304">
        <f t="shared" si="33"/>
        <v>203</v>
      </c>
      <c r="B220" s="305">
        <f t="shared" si="27"/>
        <v>48549</v>
      </c>
      <c r="C220" s="307">
        <f t="shared" si="34"/>
        <v>5663666.364864966</v>
      </c>
      <c r="D220" s="307">
        <f t="shared" si="28"/>
        <v>68502.19681671372</v>
      </c>
      <c r="E220" s="308">
        <f t="shared" si="29"/>
        <v>0</v>
      </c>
      <c r="F220" s="307">
        <f t="shared" si="30"/>
        <v>68502.19681671372</v>
      </c>
      <c r="G220" s="307">
        <f t="shared" si="31"/>
        <v>48443.3784411503</v>
      </c>
      <c r="H220" s="307">
        <f t="shared" si="35"/>
        <v>20058.81837556342</v>
      </c>
      <c r="I220" s="307">
        <f t="shared" si="32"/>
        <v>5615222.986423816</v>
      </c>
      <c r="J220" s="307">
        <f>SUM($H$18:$H220)</f>
        <v>6876277.120216706</v>
      </c>
    </row>
    <row r="221" spans="1:10" ht="12.75">
      <c r="A221" s="304">
        <f t="shared" si="33"/>
        <v>204</v>
      </c>
      <c r="B221" s="305">
        <f t="shared" si="27"/>
        <v>48580</v>
      </c>
      <c r="C221" s="307">
        <f t="shared" si="34"/>
        <v>5615222.986423816</v>
      </c>
      <c r="D221" s="307">
        <f t="shared" si="28"/>
        <v>68502.19681671372</v>
      </c>
      <c r="E221" s="308">
        <f t="shared" si="29"/>
        <v>0</v>
      </c>
      <c r="F221" s="307">
        <f t="shared" si="30"/>
        <v>68502.19681671372</v>
      </c>
      <c r="G221" s="307">
        <f t="shared" si="31"/>
        <v>48614.94873979605</v>
      </c>
      <c r="H221" s="307">
        <f t="shared" si="35"/>
        <v>19887.24807691768</v>
      </c>
      <c r="I221" s="307">
        <f t="shared" si="32"/>
        <v>5566608.03768402</v>
      </c>
      <c r="J221" s="307">
        <f>SUM($H$18:$H221)</f>
        <v>6896164.368293623</v>
      </c>
    </row>
    <row r="222" spans="1:10" ht="12.75">
      <c r="A222" s="304">
        <f t="shared" si="33"/>
        <v>205</v>
      </c>
      <c r="B222" s="305">
        <f t="shared" si="27"/>
        <v>48611</v>
      </c>
      <c r="C222" s="307">
        <f t="shared" si="34"/>
        <v>5566608.03768402</v>
      </c>
      <c r="D222" s="307">
        <f t="shared" si="28"/>
        <v>68502.19681671372</v>
      </c>
      <c r="E222" s="308">
        <f t="shared" si="29"/>
        <v>0</v>
      </c>
      <c r="F222" s="307">
        <f t="shared" si="30"/>
        <v>68502.19681671372</v>
      </c>
      <c r="G222" s="307">
        <f t="shared" si="31"/>
        <v>48787.12668324949</v>
      </c>
      <c r="H222" s="307">
        <f t="shared" si="35"/>
        <v>19715.07013346424</v>
      </c>
      <c r="I222" s="307">
        <f t="shared" si="32"/>
        <v>5517820.9110007705</v>
      </c>
      <c r="J222" s="307">
        <f>SUM($H$18:$H222)</f>
        <v>6915879.438427088</v>
      </c>
    </row>
    <row r="223" spans="1:10" ht="12.75">
      <c r="A223" s="304">
        <f t="shared" si="33"/>
        <v>206</v>
      </c>
      <c r="B223" s="305">
        <f t="shared" si="27"/>
        <v>48639</v>
      </c>
      <c r="C223" s="307">
        <f t="shared" si="34"/>
        <v>5517820.9110007705</v>
      </c>
      <c r="D223" s="307">
        <f t="shared" si="28"/>
        <v>68502.19681671372</v>
      </c>
      <c r="E223" s="308">
        <f t="shared" si="29"/>
        <v>0</v>
      </c>
      <c r="F223" s="307">
        <f t="shared" si="30"/>
        <v>68502.19681671372</v>
      </c>
      <c r="G223" s="307">
        <f t="shared" si="31"/>
        <v>48959.91442358599</v>
      </c>
      <c r="H223" s="307">
        <f t="shared" si="35"/>
        <v>19542.28239312773</v>
      </c>
      <c r="I223" s="307">
        <f t="shared" si="32"/>
        <v>5468860.996577185</v>
      </c>
      <c r="J223" s="307">
        <f>SUM($H$18:$H223)</f>
        <v>6935421.7208202155</v>
      </c>
    </row>
    <row r="224" spans="1:10" ht="12.75">
      <c r="A224" s="304">
        <f t="shared" si="33"/>
        <v>207</v>
      </c>
      <c r="B224" s="305">
        <f t="shared" si="27"/>
        <v>48670</v>
      </c>
      <c r="C224" s="307">
        <f t="shared" si="34"/>
        <v>5468860.996577185</v>
      </c>
      <c r="D224" s="307">
        <f t="shared" si="28"/>
        <v>68502.19681671372</v>
      </c>
      <c r="E224" s="308">
        <f t="shared" si="29"/>
        <v>0</v>
      </c>
      <c r="F224" s="307">
        <f t="shared" si="30"/>
        <v>68502.19681671372</v>
      </c>
      <c r="G224" s="307">
        <f t="shared" si="31"/>
        <v>49133.314120502866</v>
      </c>
      <c r="H224" s="307">
        <f t="shared" si="35"/>
        <v>19368.88269621086</v>
      </c>
      <c r="I224" s="307">
        <f t="shared" si="32"/>
        <v>5419727.6824566815</v>
      </c>
      <c r="J224" s="307">
        <f>SUM($H$18:$H224)</f>
        <v>6954790.603516426</v>
      </c>
    </row>
    <row r="225" spans="1:10" ht="12.75">
      <c r="A225" s="304">
        <f t="shared" si="33"/>
        <v>208</v>
      </c>
      <c r="B225" s="305">
        <f t="shared" si="27"/>
        <v>48700</v>
      </c>
      <c r="C225" s="307">
        <f t="shared" si="34"/>
        <v>5419727.6824566815</v>
      </c>
      <c r="D225" s="307">
        <f t="shared" si="28"/>
        <v>68502.19681671372</v>
      </c>
      <c r="E225" s="308">
        <f t="shared" si="29"/>
        <v>0</v>
      </c>
      <c r="F225" s="307">
        <f t="shared" si="30"/>
        <v>68502.19681671372</v>
      </c>
      <c r="G225" s="307">
        <f t="shared" si="31"/>
        <v>49307.32794134631</v>
      </c>
      <c r="H225" s="307">
        <f t="shared" si="35"/>
        <v>19194.868875367414</v>
      </c>
      <c r="I225" s="307">
        <f t="shared" si="32"/>
        <v>5370420.3545153355</v>
      </c>
      <c r="J225" s="307">
        <f>SUM($H$18:$H225)</f>
        <v>6973985.4723917935</v>
      </c>
    </row>
    <row r="226" spans="1:10" ht="12.75">
      <c r="A226" s="304">
        <f t="shared" si="33"/>
        <v>209</v>
      </c>
      <c r="B226" s="305">
        <f t="shared" si="27"/>
        <v>48731</v>
      </c>
      <c r="C226" s="307">
        <f t="shared" si="34"/>
        <v>5370420.3545153355</v>
      </c>
      <c r="D226" s="307">
        <f t="shared" si="28"/>
        <v>68502.19681671372</v>
      </c>
      <c r="E226" s="308">
        <f t="shared" si="29"/>
        <v>0</v>
      </c>
      <c r="F226" s="307">
        <f t="shared" si="30"/>
        <v>68502.19681671372</v>
      </c>
      <c r="G226" s="307">
        <f t="shared" si="31"/>
        <v>49481.958061138575</v>
      </c>
      <c r="H226" s="307">
        <f t="shared" si="35"/>
        <v>19020.23875557515</v>
      </c>
      <c r="I226" s="307">
        <f t="shared" si="32"/>
        <v>5320938.396454197</v>
      </c>
      <c r="J226" s="307">
        <f>SUM($H$18:$H226)</f>
        <v>6993005.711147369</v>
      </c>
    </row>
    <row r="227" spans="1:10" ht="12.75">
      <c r="A227" s="304">
        <f t="shared" si="33"/>
        <v>210</v>
      </c>
      <c r="B227" s="305">
        <f t="shared" si="27"/>
        <v>48761</v>
      </c>
      <c r="C227" s="307">
        <f t="shared" si="34"/>
        <v>5320938.396454197</v>
      </c>
      <c r="D227" s="307">
        <f t="shared" si="28"/>
        <v>68502.19681671372</v>
      </c>
      <c r="E227" s="308">
        <f t="shared" si="29"/>
        <v>0</v>
      </c>
      <c r="F227" s="307">
        <f t="shared" si="30"/>
        <v>68502.19681671372</v>
      </c>
      <c r="G227" s="307">
        <f t="shared" si="31"/>
        <v>49657.20666260511</v>
      </c>
      <c r="H227" s="307">
        <f t="shared" si="35"/>
        <v>18844.99015410862</v>
      </c>
      <c r="I227" s="307">
        <f t="shared" si="32"/>
        <v>5271281.189791592</v>
      </c>
      <c r="J227" s="307">
        <f>SUM($H$18:$H227)</f>
        <v>7011850.701301478</v>
      </c>
    </row>
    <row r="228" spans="1:10" ht="12.75">
      <c r="A228" s="304">
        <f t="shared" si="33"/>
        <v>211</v>
      </c>
      <c r="B228" s="305">
        <f t="shared" si="27"/>
        <v>48792</v>
      </c>
      <c r="C228" s="307">
        <f t="shared" si="34"/>
        <v>5271281.189791592</v>
      </c>
      <c r="D228" s="307">
        <f t="shared" si="28"/>
        <v>68502.19681671372</v>
      </c>
      <c r="E228" s="308">
        <f t="shared" si="29"/>
        <v>0</v>
      </c>
      <c r="F228" s="307">
        <f t="shared" si="30"/>
        <v>68502.19681671372</v>
      </c>
      <c r="G228" s="307">
        <f t="shared" si="31"/>
        <v>49833.07593620183</v>
      </c>
      <c r="H228" s="307">
        <f t="shared" si="35"/>
        <v>18669.12088051189</v>
      </c>
      <c r="I228" s="307">
        <f t="shared" si="32"/>
        <v>5221448.11385539</v>
      </c>
      <c r="J228" s="307">
        <f>SUM($H$18:$H228)</f>
        <v>7030519.822181989</v>
      </c>
    </row>
    <row r="229" spans="1:10" ht="12.75">
      <c r="A229" s="304">
        <f t="shared" si="33"/>
        <v>212</v>
      </c>
      <c r="B229" s="305">
        <f t="shared" si="27"/>
        <v>48823</v>
      </c>
      <c r="C229" s="307">
        <f t="shared" si="34"/>
        <v>5221448.11385539</v>
      </c>
      <c r="D229" s="307">
        <f t="shared" si="28"/>
        <v>68502.19681671372</v>
      </c>
      <c r="E229" s="308">
        <f t="shared" si="29"/>
        <v>0</v>
      </c>
      <c r="F229" s="307">
        <f t="shared" si="30"/>
        <v>68502.19681671372</v>
      </c>
      <c r="G229" s="307">
        <f t="shared" si="31"/>
        <v>50009.56808014255</v>
      </c>
      <c r="H229" s="307">
        <f t="shared" si="35"/>
        <v>18492.628736571172</v>
      </c>
      <c r="I229" s="307">
        <f t="shared" si="32"/>
        <v>5171438.545775248</v>
      </c>
      <c r="J229" s="307">
        <f>SUM($H$18:$H229)</f>
        <v>7049012.450918561</v>
      </c>
    </row>
    <row r="230" spans="1:10" ht="12.75">
      <c r="A230" s="304">
        <f t="shared" si="33"/>
        <v>213</v>
      </c>
      <c r="B230" s="305">
        <f t="shared" si="27"/>
        <v>48853</v>
      </c>
      <c r="C230" s="307">
        <f t="shared" si="34"/>
        <v>5171438.545775248</v>
      </c>
      <c r="D230" s="307">
        <f t="shared" si="28"/>
        <v>68502.19681671372</v>
      </c>
      <c r="E230" s="308">
        <f t="shared" si="29"/>
        <v>0</v>
      </c>
      <c r="F230" s="307">
        <f t="shared" si="30"/>
        <v>68502.19681671372</v>
      </c>
      <c r="G230" s="307">
        <f t="shared" si="31"/>
        <v>50186.68530042638</v>
      </c>
      <c r="H230" s="307">
        <f t="shared" si="35"/>
        <v>18315.511516287337</v>
      </c>
      <c r="I230" s="307">
        <f t="shared" si="32"/>
        <v>5121251.860474821</v>
      </c>
      <c r="J230" s="307">
        <f>SUM($H$18:$H230)</f>
        <v>7067327.962434848</v>
      </c>
    </row>
    <row r="231" spans="1:10" ht="12.75">
      <c r="A231" s="304">
        <f t="shared" si="33"/>
        <v>214</v>
      </c>
      <c r="B231" s="305">
        <f t="shared" si="27"/>
        <v>48884</v>
      </c>
      <c r="C231" s="307">
        <f t="shared" si="34"/>
        <v>5121251.860474821</v>
      </c>
      <c r="D231" s="307">
        <f t="shared" si="28"/>
        <v>68502.19681671372</v>
      </c>
      <c r="E231" s="308">
        <f t="shared" si="29"/>
        <v>0</v>
      </c>
      <c r="F231" s="307">
        <f t="shared" si="30"/>
        <v>68502.19681671372</v>
      </c>
      <c r="G231" s="307">
        <f t="shared" si="31"/>
        <v>50364.4298108654</v>
      </c>
      <c r="H231" s="307">
        <f t="shared" si="35"/>
        <v>18137.767005848327</v>
      </c>
      <c r="I231" s="307">
        <f t="shared" si="32"/>
        <v>5070887.430663955</v>
      </c>
      <c r="J231" s="307">
        <f>SUM($H$18:$H231)</f>
        <v>7085465.729440697</v>
      </c>
    </row>
    <row r="232" spans="1:10" ht="12.75">
      <c r="A232" s="304">
        <f t="shared" si="33"/>
        <v>215</v>
      </c>
      <c r="B232" s="305">
        <f t="shared" si="27"/>
        <v>48914</v>
      </c>
      <c r="C232" s="307">
        <f t="shared" si="34"/>
        <v>5070887.430663955</v>
      </c>
      <c r="D232" s="307">
        <f t="shared" si="28"/>
        <v>68502.19681671372</v>
      </c>
      <c r="E232" s="308">
        <f t="shared" si="29"/>
        <v>0</v>
      </c>
      <c r="F232" s="307">
        <f t="shared" si="30"/>
        <v>68502.19681671372</v>
      </c>
      <c r="G232" s="307">
        <f t="shared" si="31"/>
        <v>50542.80383311221</v>
      </c>
      <c r="H232" s="307">
        <f t="shared" si="35"/>
        <v>17959.392983601512</v>
      </c>
      <c r="I232" s="307">
        <f t="shared" si="32"/>
        <v>5020344.626830843</v>
      </c>
      <c r="J232" s="307">
        <f>SUM($H$18:$H232)</f>
        <v>7103425.122424298</v>
      </c>
    </row>
    <row r="233" spans="1:10" ht="12.75">
      <c r="A233" s="304">
        <f t="shared" si="33"/>
        <v>216</v>
      </c>
      <c r="B233" s="305">
        <f t="shared" si="27"/>
        <v>48945</v>
      </c>
      <c r="C233" s="307">
        <f t="shared" si="34"/>
        <v>5020344.626830843</v>
      </c>
      <c r="D233" s="307">
        <f t="shared" si="28"/>
        <v>68502.19681671372</v>
      </c>
      <c r="E233" s="308">
        <f t="shared" si="29"/>
        <v>0</v>
      </c>
      <c r="F233" s="307">
        <f t="shared" si="30"/>
        <v>68502.19681671372</v>
      </c>
      <c r="G233" s="307">
        <f t="shared" si="31"/>
        <v>50721.80959668782</v>
      </c>
      <c r="H233" s="307">
        <f t="shared" si="35"/>
        <v>17780.387220025903</v>
      </c>
      <c r="I233" s="307">
        <f t="shared" si="32"/>
        <v>4969622.817234156</v>
      </c>
      <c r="J233" s="307">
        <f>SUM($H$18:$H233)</f>
        <v>7121205.509644324</v>
      </c>
    </row>
    <row r="234" spans="1:10" ht="12.75">
      <c r="A234" s="304">
        <f t="shared" si="33"/>
        <v>217</v>
      </c>
      <c r="B234" s="305">
        <f t="shared" si="27"/>
        <v>48976</v>
      </c>
      <c r="C234" s="307">
        <f t="shared" si="34"/>
        <v>4969622.817234156</v>
      </c>
      <c r="D234" s="307">
        <f t="shared" si="28"/>
        <v>68502.19681671372</v>
      </c>
      <c r="E234" s="308">
        <f t="shared" si="29"/>
        <v>0</v>
      </c>
      <c r="F234" s="307">
        <f t="shared" si="30"/>
        <v>68502.19681671372</v>
      </c>
      <c r="G234" s="307">
        <f t="shared" si="31"/>
        <v>50901.44933900942</v>
      </c>
      <c r="H234" s="307">
        <f t="shared" si="35"/>
        <v>17600.747477704303</v>
      </c>
      <c r="I234" s="307">
        <f t="shared" si="32"/>
        <v>4918721.367895146</v>
      </c>
      <c r="J234" s="307">
        <f>SUM($H$18:$H234)</f>
        <v>7138806.257122029</v>
      </c>
    </row>
    <row r="235" spans="1:10" ht="12.75">
      <c r="A235" s="304">
        <f t="shared" si="33"/>
        <v>218</v>
      </c>
      <c r="B235" s="305">
        <f t="shared" si="27"/>
        <v>49004</v>
      </c>
      <c r="C235" s="307">
        <f t="shared" si="34"/>
        <v>4918721.367895146</v>
      </c>
      <c r="D235" s="307">
        <f t="shared" si="28"/>
        <v>68502.19681671372</v>
      </c>
      <c r="E235" s="308">
        <f t="shared" si="29"/>
        <v>0</v>
      </c>
      <c r="F235" s="307">
        <f t="shared" si="30"/>
        <v>68502.19681671372</v>
      </c>
      <c r="G235" s="307">
        <f t="shared" si="31"/>
        <v>51081.72530541841</v>
      </c>
      <c r="H235" s="307">
        <f t="shared" si="35"/>
        <v>17420.47151129531</v>
      </c>
      <c r="I235" s="307">
        <f t="shared" si="32"/>
        <v>4867639.642589727</v>
      </c>
      <c r="J235" s="307">
        <f>SUM($H$18:$H235)</f>
        <v>7156226.728633324</v>
      </c>
    </row>
    <row r="236" spans="1:10" ht="12.75">
      <c r="A236" s="304">
        <f t="shared" si="33"/>
        <v>219</v>
      </c>
      <c r="B236" s="305">
        <f t="shared" si="27"/>
        <v>49035</v>
      </c>
      <c r="C236" s="307">
        <f t="shared" si="34"/>
        <v>4867639.642589727</v>
      </c>
      <c r="D236" s="307">
        <f t="shared" si="28"/>
        <v>68502.19681671372</v>
      </c>
      <c r="E236" s="308">
        <f t="shared" si="29"/>
        <v>0</v>
      </c>
      <c r="F236" s="307">
        <f t="shared" si="30"/>
        <v>68502.19681671372</v>
      </c>
      <c r="G236" s="307">
        <f t="shared" si="31"/>
        <v>51262.639749208436</v>
      </c>
      <c r="H236" s="307">
        <f t="shared" si="35"/>
        <v>17239.557067505284</v>
      </c>
      <c r="I236" s="307">
        <f t="shared" si="32"/>
        <v>4816377.002840519</v>
      </c>
      <c r="J236" s="307">
        <f>SUM($H$18:$H236)</f>
        <v>7173466.285700829</v>
      </c>
    </row>
    <row r="237" spans="1:10" ht="12.75">
      <c r="A237" s="304">
        <f t="shared" si="33"/>
        <v>220</v>
      </c>
      <c r="B237" s="305">
        <f t="shared" si="27"/>
        <v>49065</v>
      </c>
      <c r="C237" s="307">
        <f t="shared" si="34"/>
        <v>4816377.002840519</v>
      </c>
      <c r="D237" s="307">
        <f t="shared" si="28"/>
        <v>68502.19681671372</v>
      </c>
      <c r="E237" s="308">
        <f t="shared" si="29"/>
        <v>0</v>
      </c>
      <c r="F237" s="307">
        <f t="shared" si="30"/>
        <v>68502.19681671372</v>
      </c>
      <c r="G237" s="307">
        <f t="shared" si="31"/>
        <v>51444.19493165355</v>
      </c>
      <c r="H237" s="307">
        <f t="shared" si="35"/>
        <v>17058.001885060174</v>
      </c>
      <c r="I237" s="307">
        <f t="shared" si="32"/>
        <v>4764932.807908866</v>
      </c>
      <c r="J237" s="307">
        <f>SUM($H$18:$H237)</f>
        <v>7190524.287585889</v>
      </c>
    </row>
    <row r="238" spans="1:10" ht="12.75">
      <c r="A238" s="304">
        <f t="shared" si="33"/>
        <v>221</v>
      </c>
      <c r="B238" s="305">
        <f t="shared" si="27"/>
        <v>49096</v>
      </c>
      <c r="C238" s="307">
        <f t="shared" si="34"/>
        <v>4764932.807908866</v>
      </c>
      <c r="D238" s="307">
        <f t="shared" si="28"/>
        <v>68502.19681671372</v>
      </c>
      <c r="E238" s="308">
        <f t="shared" si="29"/>
        <v>0</v>
      </c>
      <c r="F238" s="307">
        <f t="shared" si="30"/>
        <v>68502.19681671372</v>
      </c>
      <c r="G238" s="307">
        <f t="shared" si="31"/>
        <v>51626.39312203649</v>
      </c>
      <c r="H238" s="307">
        <f t="shared" si="35"/>
        <v>16875.803694677234</v>
      </c>
      <c r="I238" s="307">
        <f t="shared" si="32"/>
        <v>4713306.414786829</v>
      </c>
      <c r="J238" s="307">
        <f>SUM($H$18:$H238)</f>
        <v>7207400.0912805665</v>
      </c>
    </row>
    <row r="239" spans="1:10" ht="12.75">
      <c r="A239" s="304">
        <f t="shared" si="33"/>
        <v>222</v>
      </c>
      <c r="B239" s="305">
        <f t="shared" si="27"/>
        <v>49126</v>
      </c>
      <c r="C239" s="307">
        <f t="shared" si="34"/>
        <v>4713306.414786829</v>
      </c>
      <c r="D239" s="307">
        <f t="shared" si="28"/>
        <v>68502.19681671372</v>
      </c>
      <c r="E239" s="308">
        <f t="shared" si="29"/>
        <v>0</v>
      </c>
      <c r="F239" s="307">
        <f t="shared" si="30"/>
        <v>68502.19681671372</v>
      </c>
      <c r="G239" s="307">
        <f t="shared" si="31"/>
        <v>51809.23659767704</v>
      </c>
      <c r="H239" s="307">
        <f t="shared" si="35"/>
        <v>16692.960219036686</v>
      </c>
      <c r="I239" s="307">
        <f t="shared" si="32"/>
        <v>4661497.178189152</v>
      </c>
      <c r="J239" s="307">
        <f>SUM($H$18:$H239)</f>
        <v>7224093.051499603</v>
      </c>
    </row>
    <row r="240" spans="1:10" ht="12.75">
      <c r="A240" s="304">
        <f t="shared" si="33"/>
        <v>223</v>
      </c>
      <c r="B240" s="305">
        <f t="shared" si="27"/>
        <v>49157</v>
      </c>
      <c r="C240" s="307">
        <f t="shared" si="34"/>
        <v>4661497.178189152</v>
      </c>
      <c r="D240" s="307">
        <f t="shared" si="28"/>
        <v>68502.19681671372</v>
      </c>
      <c r="E240" s="308">
        <f t="shared" si="29"/>
        <v>0</v>
      </c>
      <c r="F240" s="307">
        <f t="shared" si="30"/>
        <v>68502.19681671372</v>
      </c>
      <c r="G240" s="307">
        <f t="shared" si="31"/>
        <v>51992.727643960476</v>
      </c>
      <c r="H240" s="307">
        <f t="shared" si="35"/>
        <v>16509.469172753248</v>
      </c>
      <c r="I240" s="307">
        <f t="shared" si="32"/>
        <v>4609504.450545192</v>
      </c>
      <c r="J240" s="307">
        <f>SUM($H$18:$H240)</f>
        <v>7240602.520672357</v>
      </c>
    </row>
    <row r="241" spans="1:10" ht="12.75">
      <c r="A241" s="304">
        <f t="shared" si="33"/>
        <v>224</v>
      </c>
      <c r="B241" s="305">
        <f t="shared" si="27"/>
        <v>49188</v>
      </c>
      <c r="C241" s="307">
        <f t="shared" si="34"/>
        <v>4609504.450545192</v>
      </c>
      <c r="D241" s="307">
        <f t="shared" si="28"/>
        <v>68502.19681671372</v>
      </c>
      <c r="E241" s="308">
        <f t="shared" si="29"/>
        <v>0</v>
      </c>
      <c r="F241" s="307">
        <f t="shared" si="30"/>
        <v>68502.19681671372</v>
      </c>
      <c r="G241" s="307">
        <f t="shared" si="31"/>
        <v>52176.86855436617</v>
      </c>
      <c r="H241" s="307">
        <f t="shared" si="35"/>
        <v>16325.328262347555</v>
      </c>
      <c r="I241" s="307">
        <f t="shared" si="32"/>
        <v>4557327.581990826</v>
      </c>
      <c r="J241" s="307">
        <f>SUM($H$18:$H241)</f>
        <v>7256927.848934704</v>
      </c>
    </row>
    <row r="242" spans="1:10" ht="12.75">
      <c r="A242" s="304">
        <f t="shared" si="33"/>
        <v>225</v>
      </c>
      <c r="B242" s="305">
        <f t="shared" si="27"/>
        <v>49218</v>
      </c>
      <c r="C242" s="307">
        <f t="shared" si="34"/>
        <v>4557327.581990826</v>
      </c>
      <c r="D242" s="307">
        <f t="shared" si="28"/>
        <v>68502.19681671372</v>
      </c>
      <c r="E242" s="308">
        <f t="shared" si="29"/>
        <v>0</v>
      </c>
      <c r="F242" s="307">
        <f t="shared" si="30"/>
        <v>68502.19681671372</v>
      </c>
      <c r="G242" s="307">
        <f t="shared" si="31"/>
        <v>52361.661630496215</v>
      </c>
      <c r="H242" s="307">
        <f t="shared" si="35"/>
        <v>16140.53518621751</v>
      </c>
      <c r="I242" s="307">
        <f t="shared" si="32"/>
        <v>4504965.92036033</v>
      </c>
      <c r="J242" s="307">
        <f>SUM($H$18:$H242)</f>
        <v>7273068.384120922</v>
      </c>
    </row>
    <row r="243" spans="1:10" ht="12.75">
      <c r="A243" s="304">
        <f t="shared" si="33"/>
        <v>226</v>
      </c>
      <c r="B243" s="305">
        <f t="shared" si="27"/>
        <v>49249</v>
      </c>
      <c r="C243" s="307">
        <f t="shared" si="34"/>
        <v>4504965.92036033</v>
      </c>
      <c r="D243" s="307">
        <f t="shared" si="28"/>
        <v>68502.19681671372</v>
      </c>
      <c r="E243" s="308">
        <f t="shared" si="29"/>
        <v>0</v>
      </c>
      <c r="F243" s="307">
        <f t="shared" si="30"/>
        <v>68502.19681671372</v>
      </c>
      <c r="G243" s="307">
        <f t="shared" si="31"/>
        <v>52547.10918210422</v>
      </c>
      <c r="H243" s="307">
        <f t="shared" si="35"/>
        <v>15955.087634609503</v>
      </c>
      <c r="I243" s="307">
        <f t="shared" si="32"/>
        <v>4452418.811178225</v>
      </c>
      <c r="J243" s="307">
        <f>SUM($H$18:$H243)</f>
        <v>7289023.471755531</v>
      </c>
    </row>
    <row r="244" spans="1:10" ht="12.75">
      <c r="A244" s="304">
        <f t="shared" si="33"/>
        <v>227</v>
      </c>
      <c r="B244" s="305">
        <f t="shared" si="27"/>
        <v>49279</v>
      </c>
      <c r="C244" s="307">
        <f t="shared" si="34"/>
        <v>4452418.811178225</v>
      </c>
      <c r="D244" s="307">
        <f t="shared" si="28"/>
        <v>68502.19681671372</v>
      </c>
      <c r="E244" s="308">
        <f t="shared" si="29"/>
        <v>0</v>
      </c>
      <c r="F244" s="307">
        <f t="shared" si="30"/>
        <v>68502.19681671372</v>
      </c>
      <c r="G244" s="307">
        <f t="shared" si="31"/>
        <v>52733.21352712418</v>
      </c>
      <c r="H244" s="307">
        <f t="shared" si="35"/>
        <v>15768.983289589547</v>
      </c>
      <c r="I244" s="307">
        <f t="shared" si="32"/>
        <v>4399685.597651101</v>
      </c>
      <c r="J244" s="307">
        <f>SUM($H$18:$H244)</f>
        <v>7304792.45504512</v>
      </c>
    </row>
    <row r="245" spans="1:10" ht="12.75">
      <c r="A245" s="304">
        <f t="shared" si="33"/>
        <v>228</v>
      </c>
      <c r="B245" s="305">
        <f t="shared" si="27"/>
        <v>49310</v>
      </c>
      <c r="C245" s="307">
        <f t="shared" si="34"/>
        <v>4399685.597651101</v>
      </c>
      <c r="D245" s="307">
        <f t="shared" si="28"/>
        <v>68502.19681671372</v>
      </c>
      <c r="E245" s="308">
        <f t="shared" si="29"/>
        <v>0</v>
      </c>
      <c r="F245" s="307">
        <f t="shared" si="30"/>
        <v>68502.19681671372</v>
      </c>
      <c r="G245" s="307">
        <f t="shared" si="31"/>
        <v>52919.976991699405</v>
      </c>
      <c r="H245" s="307">
        <f t="shared" si="35"/>
        <v>15582.219825014317</v>
      </c>
      <c r="I245" s="307">
        <f t="shared" si="32"/>
        <v>4346765.620659402</v>
      </c>
      <c r="J245" s="307">
        <f>SUM($H$18:$H245)</f>
        <v>7320374.674870134</v>
      </c>
    </row>
    <row r="246" spans="1:10" ht="12.75">
      <c r="A246" s="304">
        <f t="shared" si="33"/>
        <v>229</v>
      </c>
      <c r="B246" s="305">
        <f t="shared" si="27"/>
        <v>49341</v>
      </c>
      <c r="C246" s="307">
        <f t="shared" si="34"/>
        <v>4346765.620659402</v>
      </c>
      <c r="D246" s="307">
        <f t="shared" si="28"/>
        <v>68502.19681671372</v>
      </c>
      <c r="E246" s="308">
        <f t="shared" si="29"/>
        <v>0</v>
      </c>
      <c r="F246" s="307">
        <f t="shared" si="30"/>
        <v>68502.19681671372</v>
      </c>
      <c r="G246" s="307">
        <f t="shared" si="31"/>
        <v>53107.40191021167</v>
      </c>
      <c r="H246" s="307">
        <f t="shared" si="35"/>
        <v>15394.79490650205</v>
      </c>
      <c r="I246" s="307">
        <f t="shared" si="32"/>
        <v>4293658.21874919</v>
      </c>
      <c r="J246" s="307">
        <f>SUM($H$18:$H246)</f>
        <v>7335769.469776636</v>
      </c>
    </row>
    <row r="247" spans="1:10" ht="12.75">
      <c r="A247" s="304">
        <f t="shared" si="33"/>
        <v>230</v>
      </c>
      <c r="B247" s="305">
        <f t="shared" si="27"/>
        <v>49369</v>
      </c>
      <c r="C247" s="307">
        <f t="shared" si="34"/>
        <v>4293658.21874919</v>
      </c>
      <c r="D247" s="307">
        <f t="shared" si="28"/>
        <v>68502.19681671372</v>
      </c>
      <c r="E247" s="308">
        <f t="shared" si="29"/>
        <v>0</v>
      </c>
      <c r="F247" s="307">
        <f t="shared" si="30"/>
        <v>68502.19681671372</v>
      </c>
      <c r="G247" s="307">
        <f t="shared" si="31"/>
        <v>53295.49062531034</v>
      </c>
      <c r="H247" s="307">
        <f t="shared" si="35"/>
        <v>15206.706191403382</v>
      </c>
      <c r="I247" s="307">
        <f t="shared" si="32"/>
        <v>4240362.728123879</v>
      </c>
      <c r="J247" s="307">
        <f>SUM($H$18:$H247)</f>
        <v>7350976.17596804</v>
      </c>
    </row>
    <row r="248" spans="1:10" ht="12.75">
      <c r="A248" s="304">
        <f t="shared" si="33"/>
        <v>231</v>
      </c>
      <c r="B248" s="305">
        <f t="shared" si="27"/>
        <v>49400</v>
      </c>
      <c r="C248" s="307">
        <f t="shared" si="34"/>
        <v>4240362.728123879</v>
      </c>
      <c r="D248" s="307">
        <f t="shared" si="28"/>
        <v>68502.19681671372</v>
      </c>
      <c r="E248" s="308">
        <f t="shared" si="29"/>
        <v>0</v>
      </c>
      <c r="F248" s="307">
        <f t="shared" si="30"/>
        <v>68502.19681671372</v>
      </c>
      <c r="G248" s="307">
        <f t="shared" si="31"/>
        <v>53484.245487941655</v>
      </c>
      <c r="H248" s="307">
        <f t="shared" si="35"/>
        <v>15017.951328772071</v>
      </c>
      <c r="I248" s="307">
        <f t="shared" si="32"/>
        <v>4186878.4826359376</v>
      </c>
      <c r="J248" s="307">
        <f>SUM($H$18:$H248)</f>
        <v>7365994.127296812</v>
      </c>
    </row>
    <row r="249" spans="1:10" ht="12.75">
      <c r="A249" s="304">
        <f t="shared" si="33"/>
        <v>232</v>
      </c>
      <c r="B249" s="305">
        <f t="shared" si="27"/>
        <v>49430</v>
      </c>
      <c r="C249" s="307">
        <f t="shared" si="34"/>
        <v>4186878.4826359376</v>
      </c>
      <c r="D249" s="307">
        <f t="shared" si="28"/>
        <v>68502.19681671372</v>
      </c>
      <c r="E249" s="308">
        <f t="shared" si="29"/>
        <v>0</v>
      </c>
      <c r="F249" s="307">
        <f t="shared" si="30"/>
        <v>68502.19681671372</v>
      </c>
      <c r="G249" s="307">
        <f t="shared" si="31"/>
        <v>53673.668857378114</v>
      </c>
      <c r="H249" s="307">
        <f t="shared" si="35"/>
        <v>14828.527959335612</v>
      </c>
      <c r="I249" s="307">
        <f t="shared" si="32"/>
        <v>4133204.8137785597</v>
      </c>
      <c r="J249" s="307">
        <f>SUM($H$18:$H249)</f>
        <v>7380822.6552561475</v>
      </c>
    </row>
    <row r="250" spans="1:10" ht="12.75">
      <c r="A250" s="304">
        <f t="shared" si="33"/>
        <v>233</v>
      </c>
      <c r="B250" s="305">
        <f t="shared" si="27"/>
        <v>49461</v>
      </c>
      <c r="C250" s="307">
        <f t="shared" si="34"/>
        <v>4133204.8137785597</v>
      </c>
      <c r="D250" s="307">
        <f t="shared" si="28"/>
        <v>68502.19681671372</v>
      </c>
      <c r="E250" s="308">
        <f t="shared" si="29"/>
        <v>0</v>
      </c>
      <c r="F250" s="307">
        <f t="shared" si="30"/>
        <v>68502.19681671372</v>
      </c>
      <c r="G250" s="307">
        <f t="shared" si="31"/>
        <v>53863.76310124799</v>
      </c>
      <c r="H250" s="307">
        <f t="shared" si="35"/>
        <v>14638.433715465733</v>
      </c>
      <c r="I250" s="307">
        <f t="shared" si="32"/>
        <v>4079341.0506773116</v>
      </c>
      <c r="J250" s="307">
        <f>SUM($H$18:$H250)</f>
        <v>7395461.088971613</v>
      </c>
    </row>
    <row r="251" spans="1:10" ht="12.75">
      <c r="A251" s="304">
        <f t="shared" si="33"/>
        <v>234</v>
      </c>
      <c r="B251" s="305">
        <f t="shared" si="27"/>
        <v>49491</v>
      </c>
      <c r="C251" s="307">
        <f t="shared" si="34"/>
        <v>4079341.0506773116</v>
      </c>
      <c r="D251" s="307">
        <f t="shared" si="28"/>
        <v>68502.19681671372</v>
      </c>
      <c r="E251" s="308">
        <f t="shared" si="29"/>
        <v>0</v>
      </c>
      <c r="F251" s="307">
        <f t="shared" si="30"/>
        <v>68502.19681671372</v>
      </c>
      <c r="G251" s="307">
        <f t="shared" si="31"/>
        <v>54054.53059556491</v>
      </c>
      <c r="H251" s="307">
        <f t="shared" si="35"/>
        <v>14447.666221148813</v>
      </c>
      <c r="I251" s="307">
        <f t="shared" si="32"/>
        <v>4025286.520081747</v>
      </c>
      <c r="J251" s="307">
        <f>SUM($H$18:$H251)</f>
        <v>7409908.755192762</v>
      </c>
    </row>
    <row r="252" spans="1:10" ht="12.75">
      <c r="A252" s="304">
        <f t="shared" si="33"/>
        <v>235</v>
      </c>
      <c r="B252" s="305">
        <f t="shared" si="27"/>
        <v>49522</v>
      </c>
      <c r="C252" s="307">
        <f t="shared" si="34"/>
        <v>4025286.520081747</v>
      </c>
      <c r="D252" s="307">
        <f t="shared" si="28"/>
        <v>68502.19681671372</v>
      </c>
      <c r="E252" s="308">
        <f t="shared" si="29"/>
        <v>0</v>
      </c>
      <c r="F252" s="307">
        <f t="shared" si="30"/>
        <v>68502.19681671372</v>
      </c>
      <c r="G252" s="307">
        <f t="shared" si="31"/>
        <v>54245.97372475754</v>
      </c>
      <c r="H252" s="307">
        <f t="shared" si="35"/>
        <v>14256.223091956186</v>
      </c>
      <c r="I252" s="307">
        <f t="shared" si="32"/>
        <v>3971040.5463569895</v>
      </c>
      <c r="J252" s="307">
        <f>SUM($H$18:$H252)</f>
        <v>7424164.9782847185</v>
      </c>
    </row>
    <row r="253" spans="1:10" ht="12.75">
      <c r="A253" s="304">
        <f t="shared" si="33"/>
        <v>236</v>
      </c>
      <c r="B253" s="305">
        <f t="shared" si="27"/>
        <v>49553</v>
      </c>
      <c r="C253" s="307">
        <f t="shared" si="34"/>
        <v>3971040.5463569895</v>
      </c>
      <c r="D253" s="307">
        <f t="shared" si="28"/>
        <v>68502.19681671372</v>
      </c>
      <c r="E253" s="308">
        <f t="shared" si="29"/>
        <v>0</v>
      </c>
      <c r="F253" s="307">
        <f t="shared" si="30"/>
        <v>68502.19681671372</v>
      </c>
      <c r="G253" s="307">
        <f t="shared" si="31"/>
        <v>54438.094881699384</v>
      </c>
      <c r="H253" s="307">
        <f t="shared" si="35"/>
        <v>14064.10193501434</v>
      </c>
      <c r="I253" s="307">
        <f t="shared" si="32"/>
        <v>3916602.45147529</v>
      </c>
      <c r="J253" s="307">
        <f>SUM($H$18:$H253)</f>
        <v>7438229.080219733</v>
      </c>
    </row>
    <row r="254" spans="1:10" ht="12.75">
      <c r="A254" s="304">
        <f t="shared" si="33"/>
        <v>237</v>
      </c>
      <c r="B254" s="305">
        <f t="shared" si="27"/>
        <v>49583</v>
      </c>
      <c r="C254" s="307">
        <f t="shared" si="34"/>
        <v>3916602.45147529</v>
      </c>
      <c r="D254" s="307">
        <f t="shared" si="28"/>
        <v>68502.19681671372</v>
      </c>
      <c r="E254" s="308">
        <f t="shared" si="29"/>
        <v>0</v>
      </c>
      <c r="F254" s="307">
        <f t="shared" si="30"/>
        <v>68502.19681671372</v>
      </c>
      <c r="G254" s="307">
        <f t="shared" si="31"/>
        <v>54630.896467738734</v>
      </c>
      <c r="H254" s="307">
        <f t="shared" si="35"/>
        <v>13871.300348974988</v>
      </c>
      <c r="I254" s="307">
        <f t="shared" si="32"/>
        <v>3861971.5550075513</v>
      </c>
      <c r="J254" s="307">
        <f>SUM($H$18:$H254)</f>
        <v>7452100.380568707</v>
      </c>
    </row>
    <row r="255" spans="1:10" ht="12.75">
      <c r="A255" s="304">
        <f t="shared" si="33"/>
        <v>238</v>
      </c>
      <c r="B255" s="305">
        <f t="shared" si="27"/>
        <v>49614</v>
      </c>
      <c r="C255" s="307">
        <f t="shared" si="34"/>
        <v>3861971.5550075513</v>
      </c>
      <c r="D255" s="307">
        <f t="shared" si="28"/>
        <v>68502.19681671372</v>
      </c>
      <c r="E255" s="308">
        <f t="shared" si="29"/>
        <v>0</v>
      </c>
      <c r="F255" s="307">
        <f t="shared" si="30"/>
        <v>68502.19681671372</v>
      </c>
      <c r="G255" s="307">
        <f t="shared" si="31"/>
        <v>54824.380892728645</v>
      </c>
      <c r="H255" s="307">
        <f t="shared" si="35"/>
        <v>13677.81592398508</v>
      </c>
      <c r="I255" s="307">
        <f t="shared" si="32"/>
        <v>3807147.174114823</v>
      </c>
      <c r="J255" s="307">
        <f>SUM($H$18:$H255)</f>
        <v>7465778.196492692</v>
      </c>
    </row>
    <row r="256" spans="1:10" ht="12.75">
      <c r="A256" s="304">
        <f t="shared" si="33"/>
        <v>239</v>
      </c>
      <c r="B256" s="305">
        <f t="shared" si="27"/>
        <v>49644</v>
      </c>
      <c r="C256" s="307">
        <f t="shared" si="34"/>
        <v>3807147.174114823</v>
      </c>
      <c r="D256" s="307">
        <f t="shared" si="28"/>
        <v>68502.19681671372</v>
      </c>
      <c r="E256" s="308">
        <f t="shared" si="29"/>
        <v>0</v>
      </c>
      <c r="F256" s="307">
        <f t="shared" si="30"/>
        <v>68502.19681671372</v>
      </c>
      <c r="G256" s="307">
        <f t="shared" si="31"/>
        <v>55018.55057505706</v>
      </c>
      <c r="H256" s="307">
        <f t="shared" si="35"/>
        <v>13483.646241656665</v>
      </c>
      <c r="I256" s="307">
        <f t="shared" si="32"/>
        <v>3752128.623539766</v>
      </c>
      <c r="J256" s="307">
        <f>SUM($H$18:$H256)</f>
        <v>7479261.842734349</v>
      </c>
    </row>
    <row r="257" spans="1:10" ht="12.75">
      <c r="A257" s="304">
        <f t="shared" si="33"/>
        <v>240</v>
      </c>
      <c r="B257" s="305">
        <f t="shared" si="27"/>
        <v>49675</v>
      </c>
      <c r="C257" s="307">
        <f t="shared" si="34"/>
        <v>3752128.623539766</v>
      </c>
      <c r="D257" s="307">
        <f t="shared" si="28"/>
        <v>68502.19681671372</v>
      </c>
      <c r="E257" s="308">
        <f t="shared" si="29"/>
        <v>0</v>
      </c>
      <c r="F257" s="307">
        <f t="shared" si="30"/>
        <v>68502.19681671372</v>
      </c>
      <c r="G257" s="307">
        <f t="shared" si="31"/>
        <v>55213.407941677055</v>
      </c>
      <c r="H257" s="307">
        <f t="shared" si="35"/>
        <v>13288.788875036671</v>
      </c>
      <c r="I257" s="307">
        <f t="shared" si="32"/>
        <v>3696915.2155980887</v>
      </c>
      <c r="J257" s="307">
        <f>SUM($H$18:$H257)</f>
        <v>7492550.631609386</v>
      </c>
    </row>
    <row r="258" spans="1:10" ht="12.75">
      <c r="A258" s="304">
        <f t="shared" si="33"/>
        <v>241</v>
      </c>
      <c r="B258" s="305">
        <f t="shared" si="27"/>
        <v>49706</v>
      </c>
      <c r="C258" s="307">
        <f t="shared" si="34"/>
        <v>3696915.2155980887</v>
      </c>
      <c r="D258" s="307">
        <f t="shared" si="28"/>
        <v>68502.19681671372</v>
      </c>
      <c r="E258" s="308">
        <f t="shared" si="29"/>
        <v>0</v>
      </c>
      <c r="F258" s="307">
        <f t="shared" si="30"/>
        <v>68502.19681671372</v>
      </c>
      <c r="G258" s="307">
        <f t="shared" si="31"/>
        <v>55408.95542813716</v>
      </c>
      <c r="H258" s="307">
        <f t="shared" si="35"/>
        <v>13093.241388576565</v>
      </c>
      <c r="I258" s="307">
        <f t="shared" si="32"/>
        <v>3641506.2601699517</v>
      </c>
      <c r="J258" s="307">
        <f>SUM($H$18:$H258)</f>
        <v>7505643.872997962</v>
      </c>
    </row>
    <row r="259" spans="1:10" ht="12.75">
      <c r="A259" s="304">
        <f t="shared" si="33"/>
        <v>242</v>
      </c>
      <c r="B259" s="305">
        <f t="shared" si="27"/>
        <v>49735</v>
      </c>
      <c r="C259" s="307">
        <f t="shared" si="34"/>
        <v>3641506.2601699517</v>
      </c>
      <c r="D259" s="307">
        <f t="shared" si="28"/>
        <v>68502.19681671372</v>
      </c>
      <c r="E259" s="308">
        <f t="shared" si="29"/>
        <v>0</v>
      </c>
      <c r="F259" s="307">
        <f t="shared" si="30"/>
        <v>68502.19681671372</v>
      </c>
      <c r="G259" s="307">
        <f t="shared" si="31"/>
        <v>55605.19547861181</v>
      </c>
      <c r="H259" s="307">
        <f t="shared" si="35"/>
        <v>12897.001338101914</v>
      </c>
      <c r="I259" s="307">
        <f t="shared" si="32"/>
        <v>3585901.06469134</v>
      </c>
      <c r="J259" s="307">
        <f>SUM($H$18:$H259)</f>
        <v>7518540.874336064</v>
      </c>
    </row>
    <row r="260" spans="1:10" ht="12.75">
      <c r="A260" s="304">
        <f t="shared" si="33"/>
        <v>243</v>
      </c>
      <c r="B260" s="305">
        <f t="shared" si="27"/>
        <v>49766</v>
      </c>
      <c r="C260" s="307">
        <f t="shared" si="34"/>
        <v>3585901.06469134</v>
      </c>
      <c r="D260" s="307">
        <f t="shared" si="28"/>
        <v>68502.19681671372</v>
      </c>
      <c r="E260" s="308">
        <f t="shared" si="29"/>
        <v>0</v>
      </c>
      <c r="F260" s="307">
        <f t="shared" si="30"/>
        <v>68502.19681671372</v>
      </c>
      <c r="G260" s="307">
        <f t="shared" si="31"/>
        <v>55802.13054593189</v>
      </c>
      <c r="H260" s="307">
        <f t="shared" si="35"/>
        <v>12700.066270781832</v>
      </c>
      <c r="I260" s="307">
        <f t="shared" si="32"/>
        <v>3530098.934145408</v>
      </c>
      <c r="J260" s="307">
        <f>SUM($H$18:$H260)</f>
        <v>7531240.940606846</v>
      </c>
    </row>
    <row r="261" spans="1:10" ht="12.75">
      <c r="A261" s="304">
        <f t="shared" si="33"/>
        <v>244</v>
      </c>
      <c r="B261" s="305">
        <f t="shared" si="27"/>
        <v>49796</v>
      </c>
      <c r="C261" s="307">
        <f t="shared" si="34"/>
        <v>3530098.934145408</v>
      </c>
      <c r="D261" s="307">
        <f t="shared" si="28"/>
        <v>68502.19681671372</v>
      </c>
      <c r="E261" s="308">
        <f t="shared" si="29"/>
        <v>0</v>
      </c>
      <c r="F261" s="307">
        <f t="shared" si="30"/>
        <v>68502.19681671372</v>
      </c>
      <c r="G261" s="307">
        <f t="shared" si="31"/>
        <v>55999.7630916154</v>
      </c>
      <c r="H261" s="307">
        <f t="shared" si="35"/>
        <v>12502.433725098323</v>
      </c>
      <c r="I261" s="307">
        <f t="shared" si="32"/>
        <v>3474099.171053793</v>
      </c>
      <c r="J261" s="307">
        <f>SUM($H$18:$H261)</f>
        <v>7543743.374331944</v>
      </c>
    </row>
    <row r="262" spans="1:10" ht="12.75">
      <c r="A262" s="304">
        <f t="shared" si="33"/>
        <v>245</v>
      </c>
      <c r="B262" s="305">
        <f t="shared" si="27"/>
        <v>49827</v>
      </c>
      <c r="C262" s="307">
        <f t="shared" si="34"/>
        <v>3474099.171053793</v>
      </c>
      <c r="D262" s="307">
        <f t="shared" si="28"/>
        <v>68502.19681671372</v>
      </c>
      <c r="E262" s="308">
        <f t="shared" si="29"/>
        <v>0</v>
      </c>
      <c r="F262" s="307">
        <f t="shared" si="30"/>
        <v>68502.19681671372</v>
      </c>
      <c r="G262" s="307">
        <f t="shared" si="31"/>
        <v>56198.095585898205</v>
      </c>
      <c r="H262" s="307">
        <f t="shared" si="35"/>
        <v>12304.101230815517</v>
      </c>
      <c r="I262" s="307">
        <f t="shared" si="32"/>
        <v>3417901.075467895</v>
      </c>
      <c r="J262" s="307">
        <f>SUM($H$18:$H262)</f>
        <v>7556047.475562759</v>
      </c>
    </row>
    <row r="263" spans="1:10" ht="12.75">
      <c r="A263" s="304">
        <f t="shared" si="33"/>
        <v>246</v>
      </c>
      <c r="B263" s="305">
        <f t="shared" si="27"/>
        <v>49857</v>
      </c>
      <c r="C263" s="307">
        <f t="shared" si="34"/>
        <v>3417901.075467895</v>
      </c>
      <c r="D263" s="307">
        <f t="shared" si="28"/>
        <v>68502.19681671372</v>
      </c>
      <c r="E263" s="308">
        <f t="shared" si="29"/>
        <v>0</v>
      </c>
      <c r="F263" s="307">
        <f t="shared" si="30"/>
        <v>68502.19681671372</v>
      </c>
      <c r="G263" s="307">
        <f t="shared" si="31"/>
        <v>56397.13050776493</v>
      </c>
      <c r="H263" s="307">
        <f t="shared" si="35"/>
        <v>12105.066308948795</v>
      </c>
      <c r="I263" s="307">
        <f t="shared" si="32"/>
        <v>3361503.94496013</v>
      </c>
      <c r="J263" s="307">
        <f>SUM($H$18:$H263)</f>
        <v>7568152.541871708</v>
      </c>
    </row>
    <row r="264" spans="1:10" ht="12.75">
      <c r="A264" s="304">
        <f t="shared" si="33"/>
        <v>247</v>
      </c>
      <c r="B264" s="305">
        <f t="shared" si="27"/>
        <v>49888</v>
      </c>
      <c r="C264" s="307">
        <f t="shared" si="34"/>
        <v>3361503.94496013</v>
      </c>
      <c r="D264" s="307">
        <f t="shared" si="28"/>
        <v>68502.19681671372</v>
      </c>
      <c r="E264" s="308">
        <f t="shared" si="29"/>
        <v>0</v>
      </c>
      <c r="F264" s="307">
        <f t="shared" si="30"/>
        <v>68502.19681671372</v>
      </c>
      <c r="G264" s="307">
        <f t="shared" si="31"/>
        <v>56596.87034497993</v>
      </c>
      <c r="H264" s="307">
        <f t="shared" si="35"/>
        <v>11905.326471733795</v>
      </c>
      <c r="I264" s="307">
        <f t="shared" si="32"/>
        <v>3304907.0746151498</v>
      </c>
      <c r="J264" s="307">
        <f>SUM($H$18:$H264)</f>
        <v>7580057.868343442</v>
      </c>
    </row>
    <row r="265" spans="1:10" ht="12.75">
      <c r="A265" s="304">
        <f t="shared" si="33"/>
        <v>248</v>
      </c>
      <c r="B265" s="305">
        <f t="shared" si="27"/>
        <v>49919</v>
      </c>
      <c r="C265" s="307">
        <f t="shared" si="34"/>
        <v>3304907.0746151498</v>
      </c>
      <c r="D265" s="307">
        <f t="shared" si="28"/>
        <v>68502.19681671372</v>
      </c>
      <c r="E265" s="308">
        <f t="shared" si="29"/>
        <v>0</v>
      </c>
      <c r="F265" s="307">
        <f t="shared" si="30"/>
        <v>68502.19681671372</v>
      </c>
      <c r="G265" s="307">
        <f t="shared" si="31"/>
        <v>56797.3175941184</v>
      </c>
      <c r="H265" s="307">
        <f t="shared" si="35"/>
        <v>11704.879222595322</v>
      </c>
      <c r="I265" s="307">
        <f t="shared" si="32"/>
        <v>3248109.7570210313</v>
      </c>
      <c r="J265" s="307">
        <f>SUM($H$18:$H265)</f>
        <v>7591762.747566037</v>
      </c>
    </row>
    <row r="266" spans="1:10" ht="12.75">
      <c r="A266" s="304">
        <f t="shared" si="33"/>
        <v>249</v>
      </c>
      <c r="B266" s="305">
        <f t="shared" si="27"/>
        <v>49949</v>
      </c>
      <c r="C266" s="307">
        <f t="shared" si="34"/>
        <v>3248109.7570210313</v>
      </c>
      <c r="D266" s="307">
        <f t="shared" si="28"/>
        <v>68502.19681671372</v>
      </c>
      <c r="E266" s="308">
        <f t="shared" si="29"/>
        <v>0</v>
      </c>
      <c r="F266" s="307">
        <f t="shared" si="30"/>
        <v>68502.19681671372</v>
      </c>
      <c r="G266" s="307">
        <f t="shared" si="31"/>
        <v>56998.47476059757</v>
      </c>
      <c r="H266" s="307">
        <f t="shared" si="35"/>
        <v>11503.722056116154</v>
      </c>
      <c r="I266" s="307">
        <f t="shared" si="32"/>
        <v>3191111.282260434</v>
      </c>
      <c r="J266" s="307">
        <f>SUM($H$18:$H266)</f>
        <v>7603266.469622153</v>
      </c>
    </row>
    <row r="267" spans="1:10" ht="12.75">
      <c r="A267" s="304">
        <f t="shared" si="33"/>
        <v>250</v>
      </c>
      <c r="B267" s="305">
        <f t="shared" si="27"/>
        <v>49980</v>
      </c>
      <c r="C267" s="307">
        <f t="shared" si="34"/>
        <v>3191111.282260434</v>
      </c>
      <c r="D267" s="307">
        <f t="shared" si="28"/>
        <v>68502.19681671372</v>
      </c>
      <c r="E267" s="308">
        <f t="shared" si="29"/>
        <v>0</v>
      </c>
      <c r="F267" s="307">
        <f t="shared" si="30"/>
        <v>68502.19681671372</v>
      </c>
      <c r="G267" s="307">
        <f t="shared" si="31"/>
        <v>57200.34435870802</v>
      </c>
      <c r="H267" s="307">
        <f t="shared" si="35"/>
        <v>11301.852458005704</v>
      </c>
      <c r="I267" s="307">
        <f t="shared" si="32"/>
        <v>3133910.9379017255</v>
      </c>
      <c r="J267" s="307">
        <f>SUM($H$18:$H267)</f>
        <v>7614568.322080159</v>
      </c>
    </row>
    <row r="268" spans="1:10" ht="12.75">
      <c r="A268" s="304">
        <f t="shared" si="33"/>
        <v>251</v>
      </c>
      <c r="B268" s="305">
        <f t="shared" si="27"/>
        <v>50010</v>
      </c>
      <c r="C268" s="307">
        <f t="shared" si="34"/>
        <v>3133910.9379017255</v>
      </c>
      <c r="D268" s="307">
        <f t="shared" si="28"/>
        <v>68502.19681671372</v>
      </c>
      <c r="E268" s="308">
        <f t="shared" si="29"/>
        <v>0</v>
      </c>
      <c r="F268" s="307">
        <f t="shared" si="30"/>
        <v>68502.19681671372</v>
      </c>
      <c r="G268" s="307">
        <f t="shared" si="31"/>
        <v>57402.92891164511</v>
      </c>
      <c r="H268" s="307">
        <f t="shared" si="35"/>
        <v>11099.267905068613</v>
      </c>
      <c r="I268" s="307">
        <f t="shared" si="32"/>
        <v>3076508.0089900806</v>
      </c>
      <c r="J268" s="307">
        <f>SUM($H$18:$H268)</f>
        <v>7625667.589985227</v>
      </c>
    </row>
    <row r="269" spans="1:10" ht="12.75">
      <c r="A269" s="304">
        <f t="shared" si="33"/>
        <v>252</v>
      </c>
      <c r="B269" s="305">
        <f t="shared" si="27"/>
        <v>50041</v>
      </c>
      <c r="C269" s="307">
        <f t="shared" si="34"/>
        <v>3076508.0089900806</v>
      </c>
      <c r="D269" s="307">
        <f t="shared" si="28"/>
        <v>68502.19681671372</v>
      </c>
      <c r="E269" s="308">
        <f t="shared" si="29"/>
        <v>0</v>
      </c>
      <c r="F269" s="307">
        <f t="shared" si="30"/>
        <v>68502.19681671372</v>
      </c>
      <c r="G269" s="307">
        <f t="shared" si="31"/>
        <v>57606.23095154052</v>
      </c>
      <c r="H269" s="307">
        <f t="shared" si="35"/>
        <v>10895.965865173202</v>
      </c>
      <c r="I269" s="307">
        <f t="shared" si="32"/>
        <v>3018901.77803854</v>
      </c>
      <c r="J269" s="307">
        <f>SUM($H$18:$H269)</f>
        <v>7636563.555850401</v>
      </c>
    </row>
    <row r="270" spans="1:10" ht="12.75">
      <c r="A270" s="304">
        <f t="shared" si="33"/>
        <v>253</v>
      </c>
      <c r="B270" s="305">
        <f t="shared" si="27"/>
        <v>50072</v>
      </c>
      <c r="C270" s="307">
        <f t="shared" si="34"/>
        <v>3018901.77803854</v>
      </c>
      <c r="D270" s="307">
        <f t="shared" si="28"/>
        <v>68502.19681671372</v>
      </c>
      <c r="E270" s="308">
        <f t="shared" si="29"/>
        <v>0</v>
      </c>
      <c r="F270" s="307">
        <f t="shared" si="30"/>
        <v>68502.19681671372</v>
      </c>
      <c r="G270" s="307">
        <f t="shared" si="31"/>
        <v>57810.253019493895</v>
      </c>
      <c r="H270" s="307">
        <f t="shared" si="35"/>
        <v>10691.94379721983</v>
      </c>
      <c r="I270" s="307">
        <f t="shared" si="32"/>
        <v>2961091.525019046</v>
      </c>
      <c r="J270" s="307">
        <f>SUM($H$18:$H270)</f>
        <v>7647255.49964762</v>
      </c>
    </row>
    <row r="271" spans="1:10" ht="12.75">
      <c r="A271" s="304">
        <f t="shared" si="33"/>
        <v>254</v>
      </c>
      <c r="B271" s="305">
        <f t="shared" si="27"/>
        <v>50100</v>
      </c>
      <c r="C271" s="307">
        <f t="shared" si="34"/>
        <v>2961091.525019046</v>
      </c>
      <c r="D271" s="307">
        <f t="shared" si="28"/>
        <v>68502.19681671372</v>
      </c>
      <c r="E271" s="308">
        <f t="shared" si="29"/>
        <v>0</v>
      </c>
      <c r="F271" s="307">
        <f t="shared" si="30"/>
        <v>68502.19681671372</v>
      </c>
      <c r="G271" s="307">
        <f t="shared" si="31"/>
        <v>58014.997665604606</v>
      </c>
      <c r="H271" s="307">
        <f t="shared" si="35"/>
        <v>10487.199151109122</v>
      </c>
      <c r="I271" s="307">
        <f t="shared" si="32"/>
        <v>2903076.5273534413</v>
      </c>
      <c r="J271" s="307">
        <f>SUM($H$18:$H271)</f>
        <v>7657742.698798729</v>
      </c>
    </row>
    <row r="272" spans="1:10" ht="12.75">
      <c r="A272" s="304">
        <f t="shared" si="33"/>
        <v>255</v>
      </c>
      <c r="B272" s="305">
        <f t="shared" si="27"/>
        <v>50131</v>
      </c>
      <c r="C272" s="307">
        <f t="shared" si="34"/>
        <v>2903076.5273534413</v>
      </c>
      <c r="D272" s="307">
        <f t="shared" si="28"/>
        <v>68502.19681671372</v>
      </c>
      <c r="E272" s="308">
        <f t="shared" si="29"/>
        <v>0</v>
      </c>
      <c r="F272" s="307">
        <f t="shared" si="30"/>
        <v>68502.19681671372</v>
      </c>
      <c r="G272" s="307">
        <f t="shared" si="31"/>
        <v>58220.46744900362</v>
      </c>
      <c r="H272" s="307">
        <f t="shared" si="35"/>
        <v>10281.729367710106</v>
      </c>
      <c r="I272" s="307">
        <f t="shared" si="32"/>
        <v>2844856.0599044375</v>
      </c>
      <c r="J272" s="307">
        <f>SUM($H$18:$H272)</f>
        <v>7668024.428166439</v>
      </c>
    </row>
    <row r="273" spans="1:10" ht="12.75">
      <c r="A273" s="304">
        <f t="shared" si="33"/>
        <v>256</v>
      </c>
      <c r="B273" s="305">
        <f t="shared" si="27"/>
        <v>50161</v>
      </c>
      <c r="C273" s="307">
        <f t="shared" si="34"/>
        <v>2844856.0599044375</v>
      </c>
      <c r="D273" s="307">
        <f t="shared" si="28"/>
        <v>68502.19681671372</v>
      </c>
      <c r="E273" s="308">
        <f t="shared" si="29"/>
        <v>0</v>
      </c>
      <c r="F273" s="307">
        <f t="shared" si="30"/>
        <v>68502.19681671372</v>
      </c>
      <c r="G273" s="307">
        <f t="shared" si="31"/>
        <v>58426.66493788551</v>
      </c>
      <c r="H273" s="307">
        <f t="shared" si="35"/>
        <v>10075.531878828217</v>
      </c>
      <c r="I273" s="307">
        <f t="shared" si="32"/>
        <v>2786429.394966552</v>
      </c>
      <c r="J273" s="307">
        <f>SUM($H$18:$H273)</f>
        <v>7678099.960045267</v>
      </c>
    </row>
    <row r="274" spans="1:10" ht="12.75">
      <c r="A274" s="304">
        <f t="shared" si="33"/>
        <v>257</v>
      </c>
      <c r="B274" s="305">
        <f aca="true" t="shared" si="36" ref="B274:B337">IF(Pay_Num_3&lt;&gt;"",DATE(YEAR(Loan_Start_3),MONTH(Loan_Start_3)+(Pay_Num_3)*12/Num_Pmt_Per_Year_3,DAY(Loan_Start_3)),"")</f>
        <v>50192</v>
      </c>
      <c r="C274" s="307">
        <f t="shared" si="34"/>
        <v>2786429.394966552</v>
      </c>
      <c r="D274" s="307">
        <f aca="true" t="shared" si="37" ref="D274:D337">IF(Pay_Num_3&lt;&gt;"",Scheduled_Monthly_Payment_3,"")</f>
        <v>68502.19681671372</v>
      </c>
      <c r="E274" s="308">
        <f aca="true" t="shared" si="38" ref="E274:E337">IF(AND(Pay_Num_3&lt;&gt;"",Sched_Pay_3+Scheduled_Extra_Payments_3&lt;Beg_Bal_3),Scheduled_Extra_Payments_3,IF(AND(Pay_Num_3&lt;&gt;"",Beg_Bal_3-Sched_Pay_3&gt;0),Beg_Bal_3-Sched_Pay_3,IF(Pay_Num_3&lt;&gt;"",0,"")))</f>
        <v>0</v>
      </c>
      <c r="F274" s="307">
        <f aca="true" t="shared" si="39" ref="F274:F337">IF(AND(Pay_Num_3&lt;&gt;"",Sched_Pay_3+Extra_Pay_3&lt;Beg_Bal_3),Sched_Pay_3+Extra_Pay_3,IF(Pay_Num_3&lt;&gt;"",Beg_Bal_3,""))</f>
        <v>68502.19681671372</v>
      </c>
      <c r="G274" s="307">
        <f aca="true" t="shared" si="40" ref="G274:G337">IF(Pay_Num_3&lt;&gt;"",Total_Pay_3-Int_3,"")</f>
        <v>58633.59270954052</v>
      </c>
      <c r="H274" s="307">
        <f t="shared" si="35"/>
        <v>9868.604107173205</v>
      </c>
      <c r="I274" s="307">
        <f aca="true" t="shared" si="41" ref="I274:I337">IF(AND(Pay_Num_3&lt;&gt;"",Sched_Pay_3+Extra_Pay_3&lt;Beg_Bal_3),Beg_Bal_3-Princ_3,IF(Pay_Num_3&lt;&gt;"",0,""))</f>
        <v>2727795.8022570116</v>
      </c>
      <c r="J274" s="307">
        <f>SUM($H$18:$H274)</f>
        <v>7687968.56415244</v>
      </c>
    </row>
    <row r="275" spans="1:10" ht="12.75">
      <c r="A275" s="304">
        <f aca="true" t="shared" si="42" ref="A275:A338">IF(Values_Entered_3,A274+1,"")</f>
        <v>258</v>
      </c>
      <c r="B275" s="305">
        <f t="shared" si="36"/>
        <v>50222</v>
      </c>
      <c r="C275" s="307">
        <f aca="true" t="shared" si="43" ref="C275:C338">IF(Pay_Num_3&lt;&gt;"",I274,"")</f>
        <v>2727795.8022570116</v>
      </c>
      <c r="D275" s="307">
        <f t="shared" si="37"/>
        <v>68502.19681671372</v>
      </c>
      <c r="E275" s="308">
        <f t="shared" si="38"/>
        <v>0</v>
      </c>
      <c r="F275" s="307">
        <f t="shared" si="39"/>
        <v>68502.19681671372</v>
      </c>
      <c r="G275" s="307">
        <f t="shared" si="40"/>
        <v>58841.2533503868</v>
      </c>
      <c r="H275" s="307">
        <f aca="true" t="shared" si="44" ref="H275:H338">IF(Pay_Num_3&lt;&gt;"",Beg_Bal_3*Interest_Rate_3/Num_Pmt_Per_Year_3,"")</f>
        <v>9660.943466326917</v>
      </c>
      <c r="I275" s="307">
        <f t="shared" si="41"/>
        <v>2668954.548906625</v>
      </c>
      <c r="J275" s="307">
        <f>SUM($H$18:$H275)</f>
        <v>7697629.507618767</v>
      </c>
    </row>
    <row r="276" spans="1:10" ht="12.75">
      <c r="A276" s="304">
        <f t="shared" si="42"/>
        <v>259</v>
      </c>
      <c r="B276" s="305">
        <f t="shared" si="36"/>
        <v>50253</v>
      </c>
      <c r="C276" s="307">
        <f t="shared" si="43"/>
        <v>2668954.548906625</v>
      </c>
      <c r="D276" s="307">
        <f t="shared" si="37"/>
        <v>68502.19681671372</v>
      </c>
      <c r="E276" s="308">
        <f t="shared" si="38"/>
        <v>0</v>
      </c>
      <c r="F276" s="307">
        <f t="shared" si="39"/>
        <v>68502.19681671372</v>
      </c>
      <c r="G276" s="307">
        <f t="shared" si="40"/>
        <v>59049.649456002764</v>
      </c>
      <c r="H276" s="307">
        <f t="shared" si="44"/>
        <v>9452.547360710963</v>
      </c>
      <c r="I276" s="307">
        <f t="shared" si="41"/>
        <v>2609904.899450622</v>
      </c>
      <c r="J276" s="307">
        <f>SUM($H$18:$H276)</f>
        <v>7707082.054979478</v>
      </c>
    </row>
    <row r="277" spans="1:10" ht="12.75">
      <c r="A277" s="304">
        <f t="shared" si="42"/>
        <v>260</v>
      </c>
      <c r="B277" s="305">
        <f t="shared" si="36"/>
        <v>50284</v>
      </c>
      <c r="C277" s="307">
        <f t="shared" si="43"/>
        <v>2609904.899450622</v>
      </c>
      <c r="D277" s="307">
        <f t="shared" si="37"/>
        <v>68502.19681671372</v>
      </c>
      <c r="E277" s="308">
        <f t="shared" si="38"/>
        <v>0</v>
      </c>
      <c r="F277" s="307">
        <f t="shared" si="39"/>
        <v>68502.19681671372</v>
      </c>
      <c r="G277" s="307">
        <f t="shared" si="40"/>
        <v>59258.78363115944</v>
      </c>
      <c r="H277" s="307">
        <f t="shared" si="44"/>
        <v>9243.413185554287</v>
      </c>
      <c r="I277" s="307">
        <f t="shared" si="41"/>
        <v>2550646.1158194626</v>
      </c>
      <c r="J277" s="307">
        <f>SUM($H$18:$H277)</f>
        <v>7716325.468165033</v>
      </c>
    </row>
    <row r="278" spans="1:10" ht="12.75">
      <c r="A278" s="304">
        <f t="shared" si="42"/>
        <v>261</v>
      </c>
      <c r="B278" s="305">
        <f t="shared" si="36"/>
        <v>50314</v>
      </c>
      <c r="C278" s="307">
        <f t="shared" si="43"/>
        <v>2550646.1158194626</v>
      </c>
      <c r="D278" s="307">
        <f t="shared" si="37"/>
        <v>68502.19681671372</v>
      </c>
      <c r="E278" s="308">
        <f t="shared" si="38"/>
        <v>0</v>
      </c>
      <c r="F278" s="307">
        <f t="shared" si="39"/>
        <v>68502.19681671372</v>
      </c>
      <c r="G278" s="307">
        <f t="shared" si="40"/>
        <v>59468.65848985313</v>
      </c>
      <c r="H278" s="307">
        <f t="shared" si="44"/>
        <v>9033.538326860596</v>
      </c>
      <c r="I278" s="307">
        <f t="shared" si="41"/>
        <v>2491177.4573296094</v>
      </c>
      <c r="J278" s="307">
        <f>SUM($H$18:$H278)</f>
        <v>7725359.006491893</v>
      </c>
    </row>
    <row r="279" spans="1:10" ht="12.75">
      <c r="A279" s="304">
        <f t="shared" si="42"/>
        <v>262</v>
      </c>
      <c r="B279" s="305">
        <f t="shared" si="36"/>
        <v>50345</v>
      </c>
      <c r="C279" s="307">
        <f t="shared" si="43"/>
        <v>2491177.4573296094</v>
      </c>
      <c r="D279" s="307">
        <f t="shared" si="37"/>
        <v>68502.19681671372</v>
      </c>
      <c r="E279" s="308">
        <f t="shared" si="38"/>
        <v>0</v>
      </c>
      <c r="F279" s="307">
        <f t="shared" si="39"/>
        <v>68502.19681671372</v>
      </c>
      <c r="G279" s="307">
        <f t="shared" si="40"/>
        <v>59679.27665533802</v>
      </c>
      <c r="H279" s="307">
        <f t="shared" si="44"/>
        <v>8822.920161375701</v>
      </c>
      <c r="I279" s="307">
        <f t="shared" si="41"/>
        <v>2431498.180674271</v>
      </c>
      <c r="J279" s="307">
        <f>SUM($H$18:$H279)</f>
        <v>7734181.926653269</v>
      </c>
    </row>
    <row r="280" spans="1:10" ht="12.75">
      <c r="A280" s="304">
        <f t="shared" si="42"/>
        <v>263</v>
      </c>
      <c r="B280" s="305">
        <f t="shared" si="36"/>
        <v>50375</v>
      </c>
      <c r="C280" s="307">
        <f t="shared" si="43"/>
        <v>2431498.180674271</v>
      </c>
      <c r="D280" s="307">
        <f t="shared" si="37"/>
        <v>68502.19681671372</v>
      </c>
      <c r="E280" s="308">
        <f t="shared" si="38"/>
        <v>0</v>
      </c>
      <c r="F280" s="307">
        <f t="shared" si="39"/>
        <v>68502.19681671372</v>
      </c>
      <c r="G280" s="307">
        <f t="shared" si="40"/>
        <v>59890.64076015901</v>
      </c>
      <c r="H280" s="307">
        <f t="shared" si="44"/>
        <v>8611.556056554711</v>
      </c>
      <c r="I280" s="307">
        <f t="shared" si="41"/>
        <v>2371607.539914112</v>
      </c>
      <c r="J280" s="307">
        <f>SUM($H$18:$H280)</f>
        <v>7742793.482709823</v>
      </c>
    </row>
    <row r="281" spans="1:10" ht="12.75">
      <c r="A281" s="304">
        <f t="shared" si="42"/>
        <v>264</v>
      </c>
      <c r="B281" s="305">
        <f t="shared" si="36"/>
        <v>50406</v>
      </c>
      <c r="C281" s="307">
        <f t="shared" si="43"/>
        <v>2371607.539914112</v>
      </c>
      <c r="D281" s="307">
        <f t="shared" si="37"/>
        <v>68502.19681671372</v>
      </c>
      <c r="E281" s="308">
        <f t="shared" si="38"/>
        <v>0</v>
      </c>
      <c r="F281" s="307">
        <f t="shared" si="39"/>
        <v>68502.19681671372</v>
      </c>
      <c r="G281" s="307">
        <f t="shared" si="40"/>
        <v>60102.75344618458</v>
      </c>
      <c r="H281" s="307">
        <f t="shared" si="44"/>
        <v>8399.443370529147</v>
      </c>
      <c r="I281" s="307">
        <f t="shared" si="41"/>
        <v>2311504.7864679275</v>
      </c>
      <c r="J281" s="307">
        <f>SUM($H$18:$H281)</f>
        <v>7751192.926080353</v>
      </c>
    </row>
    <row r="282" spans="1:10" ht="12.75">
      <c r="A282" s="304">
        <f t="shared" si="42"/>
        <v>265</v>
      </c>
      <c r="B282" s="305">
        <f t="shared" si="36"/>
        <v>50437</v>
      </c>
      <c r="C282" s="307">
        <f t="shared" si="43"/>
        <v>2311504.7864679275</v>
      </c>
      <c r="D282" s="307">
        <f t="shared" si="37"/>
        <v>68502.19681671372</v>
      </c>
      <c r="E282" s="308">
        <f t="shared" si="38"/>
        <v>0</v>
      </c>
      <c r="F282" s="307">
        <f t="shared" si="39"/>
        <v>68502.19681671372</v>
      </c>
      <c r="G282" s="307">
        <f t="shared" si="40"/>
        <v>60315.61736463981</v>
      </c>
      <c r="H282" s="307">
        <f t="shared" si="44"/>
        <v>8186.579452073911</v>
      </c>
      <c r="I282" s="307">
        <f t="shared" si="41"/>
        <v>2251189.1691032876</v>
      </c>
      <c r="J282" s="307">
        <f>SUM($H$18:$H282)</f>
        <v>7759379.505532427</v>
      </c>
    </row>
    <row r="283" spans="1:10" ht="12.75">
      <c r="A283" s="304">
        <f t="shared" si="42"/>
        <v>266</v>
      </c>
      <c r="B283" s="305">
        <f t="shared" si="36"/>
        <v>50465</v>
      </c>
      <c r="C283" s="307">
        <f t="shared" si="43"/>
        <v>2251189.1691032876</v>
      </c>
      <c r="D283" s="307">
        <f t="shared" si="37"/>
        <v>68502.19681671372</v>
      </c>
      <c r="E283" s="308">
        <f t="shared" si="38"/>
        <v>0</v>
      </c>
      <c r="F283" s="307">
        <f t="shared" si="39"/>
        <v>68502.19681671372</v>
      </c>
      <c r="G283" s="307">
        <f t="shared" si="40"/>
        <v>60529.23517613958</v>
      </c>
      <c r="H283" s="307">
        <f t="shared" si="44"/>
        <v>7972.961640574144</v>
      </c>
      <c r="I283" s="307">
        <f t="shared" si="41"/>
        <v>2190659.933927148</v>
      </c>
      <c r="J283" s="307">
        <f>SUM($H$18:$H283)</f>
        <v>7767352.467173001</v>
      </c>
    </row>
    <row r="284" spans="1:10" ht="12.75">
      <c r="A284" s="304">
        <f t="shared" si="42"/>
        <v>267</v>
      </c>
      <c r="B284" s="305">
        <f t="shared" si="36"/>
        <v>50496</v>
      </c>
      <c r="C284" s="307">
        <f t="shared" si="43"/>
        <v>2190659.933927148</v>
      </c>
      <c r="D284" s="307">
        <f t="shared" si="37"/>
        <v>68502.19681671372</v>
      </c>
      <c r="E284" s="308">
        <f t="shared" si="38"/>
        <v>0</v>
      </c>
      <c r="F284" s="307">
        <f t="shared" si="39"/>
        <v>68502.19681671372</v>
      </c>
      <c r="G284" s="307">
        <f t="shared" si="40"/>
        <v>60743.60955072174</v>
      </c>
      <c r="H284" s="307">
        <f t="shared" si="44"/>
        <v>7758.587265991983</v>
      </c>
      <c r="I284" s="307">
        <f t="shared" si="41"/>
        <v>2129916.324376426</v>
      </c>
      <c r="J284" s="307">
        <f>SUM($H$18:$H284)</f>
        <v>7775111.054438992</v>
      </c>
    </row>
    <row r="285" spans="1:10" ht="12.75">
      <c r="A285" s="304">
        <f t="shared" si="42"/>
        <v>268</v>
      </c>
      <c r="B285" s="305">
        <f t="shared" si="36"/>
        <v>50526</v>
      </c>
      <c r="C285" s="307">
        <f t="shared" si="43"/>
        <v>2129916.324376426</v>
      </c>
      <c r="D285" s="307">
        <f t="shared" si="37"/>
        <v>68502.19681671372</v>
      </c>
      <c r="E285" s="308">
        <f t="shared" si="38"/>
        <v>0</v>
      </c>
      <c r="F285" s="307">
        <f t="shared" si="39"/>
        <v>68502.19681671372</v>
      </c>
      <c r="G285" s="307">
        <f t="shared" si="40"/>
        <v>60958.743167880544</v>
      </c>
      <c r="H285" s="307">
        <f t="shared" si="44"/>
        <v>7543.453648833176</v>
      </c>
      <c r="I285" s="307">
        <f t="shared" si="41"/>
        <v>2068957.5812085457</v>
      </c>
      <c r="J285" s="307">
        <f>SUM($H$18:$H285)</f>
        <v>7782654.508087826</v>
      </c>
    </row>
    <row r="286" spans="1:10" ht="12.75">
      <c r="A286" s="304">
        <f t="shared" si="42"/>
        <v>269</v>
      </c>
      <c r="B286" s="305">
        <f t="shared" si="36"/>
        <v>50557</v>
      </c>
      <c r="C286" s="307">
        <f t="shared" si="43"/>
        <v>2068957.5812085457</v>
      </c>
      <c r="D286" s="307">
        <f t="shared" si="37"/>
        <v>68502.19681671372</v>
      </c>
      <c r="E286" s="308">
        <f t="shared" si="38"/>
        <v>0</v>
      </c>
      <c r="F286" s="307">
        <f t="shared" si="39"/>
        <v>68502.19681671372</v>
      </c>
      <c r="G286" s="307">
        <f t="shared" si="40"/>
        <v>61174.63871660012</v>
      </c>
      <c r="H286" s="307">
        <f t="shared" si="44"/>
        <v>7327.558100113601</v>
      </c>
      <c r="I286" s="307">
        <f t="shared" si="41"/>
        <v>2007782.9424919456</v>
      </c>
      <c r="J286" s="307">
        <f>SUM($H$18:$H286)</f>
        <v>7789982.06618794</v>
      </c>
    </row>
    <row r="287" spans="1:10" ht="12.75">
      <c r="A287" s="304">
        <f t="shared" si="42"/>
        <v>270</v>
      </c>
      <c r="B287" s="305">
        <f t="shared" si="36"/>
        <v>50587</v>
      </c>
      <c r="C287" s="307">
        <f t="shared" si="43"/>
        <v>2007782.9424919456</v>
      </c>
      <c r="D287" s="307">
        <f t="shared" si="37"/>
        <v>68502.19681671372</v>
      </c>
      <c r="E287" s="308">
        <f t="shared" si="38"/>
        <v>0</v>
      </c>
      <c r="F287" s="307">
        <f t="shared" si="39"/>
        <v>68502.19681671372</v>
      </c>
      <c r="G287" s="307">
        <f t="shared" si="40"/>
        <v>61391.298895388085</v>
      </c>
      <c r="H287" s="307">
        <f t="shared" si="44"/>
        <v>7110.897921325642</v>
      </c>
      <c r="I287" s="307">
        <f t="shared" si="41"/>
        <v>1946391.6435965574</v>
      </c>
      <c r="J287" s="307">
        <f>SUM($H$18:$H287)</f>
        <v>7797092.964109265</v>
      </c>
    </row>
    <row r="288" spans="1:10" ht="12.75">
      <c r="A288" s="304">
        <f t="shared" si="42"/>
        <v>271</v>
      </c>
      <c r="B288" s="305">
        <f t="shared" si="36"/>
        <v>50618</v>
      </c>
      <c r="C288" s="307">
        <f t="shared" si="43"/>
        <v>1946391.6435965574</v>
      </c>
      <c r="D288" s="307">
        <f t="shared" si="37"/>
        <v>68502.19681671372</v>
      </c>
      <c r="E288" s="308">
        <f t="shared" si="38"/>
        <v>0</v>
      </c>
      <c r="F288" s="307">
        <f t="shared" si="39"/>
        <v>68502.19681671372</v>
      </c>
      <c r="G288" s="307">
        <f t="shared" si="40"/>
        <v>61608.72641230925</v>
      </c>
      <c r="H288" s="307">
        <f t="shared" si="44"/>
        <v>6893.470404404475</v>
      </c>
      <c r="I288" s="307">
        <f t="shared" si="41"/>
        <v>1884782.917184248</v>
      </c>
      <c r="J288" s="307">
        <f>SUM($H$18:$H288)</f>
        <v>7803986.434513669</v>
      </c>
    </row>
    <row r="289" spans="1:10" ht="12.75">
      <c r="A289" s="304">
        <f t="shared" si="42"/>
        <v>272</v>
      </c>
      <c r="B289" s="305">
        <f t="shared" si="36"/>
        <v>50649</v>
      </c>
      <c r="C289" s="307">
        <f t="shared" si="43"/>
        <v>1884782.917184248</v>
      </c>
      <c r="D289" s="307">
        <f t="shared" si="37"/>
        <v>68502.19681671372</v>
      </c>
      <c r="E289" s="308">
        <f t="shared" si="38"/>
        <v>0</v>
      </c>
      <c r="F289" s="307">
        <f t="shared" si="39"/>
        <v>68502.19681671372</v>
      </c>
      <c r="G289" s="307">
        <f t="shared" si="40"/>
        <v>61826.923985019515</v>
      </c>
      <c r="H289" s="307">
        <f t="shared" si="44"/>
        <v>6675.272831694212</v>
      </c>
      <c r="I289" s="307">
        <f t="shared" si="41"/>
        <v>1822955.9931992285</v>
      </c>
      <c r="J289" s="307">
        <f>SUM($H$18:$H289)</f>
        <v>7810661.707345364</v>
      </c>
    </row>
    <row r="290" spans="1:10" ht="12.75">
      <c r="A290" s="304">
        <f t="shared" si="42"/>
        <v>273</v>
      </c>
      <c r="B290" s="305">
        <f t="shared" si="36"/>
        <v>50679</v>
      </c>
      <c r="C290" s="307">
        <f t="shared" si="43"/>
        <v>1822955.9931992285</v>
      </c>
      <c r="D290" s="307">
        <f t="shared" si="37"/>
        <v>68502.19681671372</v>
      </c>
      <c r="E290" s="308">
        <f t="shared" si="38"/>
        <v>0</v>
      </c>
      <c r="F290" s="307">
        <f t="shared" si="39"/>
        <v>68502.19681671372</v>
      </c>
      <c r="G290" s="307">
        <f t="shared" si="40"/>
        <v>62045.89434079979</v>
      </c>
      <c r="H290" s="307">
        <f t="shared" si="44"/>
        <v>6456.302475913934</v>
      </c>
      <c r="I290" s="307">
        <f t="shared" si="41"/>
        <v>1760910.0988584287</v>
      </c>
      <c r="J290" s="307">
        <f>SUM($H$18:$H290)</f>
        <v>7817118.009821278</v>
      </c>
    </row>
    <row r="291" spans="1:10" ht="12.75">
      <c r="A291" s="304">
        <f t="shared" si="42"/>
        <v>274</v>
      </c>
      <c r="B291" s="305">
        <f t="shared" si="36"/>
        <v>50710</v>
      </c>
      <c r="C291" s="307">
        <f t="shared" si="43"/>
        <v>1760910.0988584287</v>
      </c>
      <c r="D291" s="307">
        <f t="shared" si="37"/>
        <v>68502.19681671372</v>
      </c>
      <c r="E291" s="308">
        <f t="shared" si="38"/>
        <v>0</v>
      </c>
      <c r="F291" s="307">
        <f t="shared" si="39"/>
        <v>68502.19681671372</v>
      </c>
      <c r="G291" s="307">
        <f t="shared" si="40"/>
        <v>62265.64021659012</v>
      </c>
      <c r="H291" s="307">
        <f t="shared" si="44"/>
        <v>6236.556600123601</v>
      </c>
      <c r="I291" s="307">
        <f t="shared" si="41"/>
        <v>1698644.4586418385</v>
      </c>
      <c r="J291" s="307">
        <f>SUM($H$18:$H291)</f>
        <v>7823354.566421402</v>
      </c>
    </row>
    <row r="292" spans="1:10" ht="12.75">
      <c r="A292" s="304">
        <f t="shared" si="42"/>
        <v>275</v>
      </c>
      <c r="B292" s="305">
        <f t="shared" si="36"/>
        <v>50740</v>
      </c>
      <c r="C292" s="307">
        <f t="shared" si="43"/>
        <v>1698644.4586418385</v>
      </c>
      <c r="D292" s="307">
        <f t="shared" si="37"/>
        <v>68502.19681671372</v>
      </c>
      <c r="E292" s="308">
        <f t="shared" si="38"/>
        <v>0</v>
      </c>
      <c r="F292" s="307">
        <f t="shared" si="39"/>
        <v>68502.19681671372</v>
      </c>
      <c r="G292" s="307">
        <f t="shared" si="40"/>
        <v>62486.16435902388</v>
      </c>
      <c r="H292" s="307">
        <f t="shared" si="44"/>
        <v>6016.032457689846</v>
      </c>
      <c r="I292" s="307">
        <f t="shared" si="41"/>
        <v>1636158.2942828147</v>
      </c>
      <c r="J292" s="307">
        <f>SUM($H$18:$H292)</f>
        <v>7829370.598879091</v>
      </c>
    </row>
    <row r="293" spans="1:10" ht="12.75">
      <c r="A293" s="304">
        <f t="shared" si="42"/>
        <v>276</v>
      </c>
      <c r="B293" s="305">
        <f t="shared" si="36"/>
        <v>50771</v>
      </c>
      <c r="C293" s="307">
        <f t="shared" si="43"/>
        <v>1636158.2942828147</v>
      </c>
      <c r="D293" s="307">
        <f t="shared" si="37"/>
        <v>68502.19681671372</v>
      </c>
      <c r="E293" s="308">
        <f t="shared" si="38"/>
        <v>0</v>
      </c>
      <c r="F293" s="307">
        <f t="shared" si="39"/>
        <v>68502.19681671372</v>
      </c>
      <c r="G293" s="307">
        <f t="shared" si="40"/>
        <v>62707.46952446209</v>
      </c>
      <c r="H293" s="307">
        <f t="shared" si="44"/>
        <v>5794.727292251636</v>
      </c>
      <c r="I293" s="307">
        <f t="shared" si="41"/>
        <v>1573450.8247583527</v>
      </c>
      <c r="J293" s="307">
        <f>SUM($H$18:$H293)</f>
        <v>7835165.326171343</v>
      </c>
    </row>
    <row r="294" spans="1:10" ht="12.75">
      <c r="A294" s="304">
        <f t="shared" si="42"/>
        <v>277</v>
      </c>
      <c r="B294" s="305">
        <f t="shared" si="36"/>
        <v>50802</v>
      </c>
      <c r="C294" s="307">
        <f t="shared" si="43"/>
        <v>1573450.8247583527</v>
      </c>
      <c r="D294" s="307">
        <f t="shared" si="37"/>
        <v>68502.19681671372</v>
      </c>
      <c r="E294" s="308">
        <f t="shared" si="38"/>
        <v>0</v>
      </c>
      <c r="F294" s="307">
        <f t="shared" si="39"/>
        <v>68502.19681671372</v>
      </c>
      <c r="G294" s="307">
        <f t="shared" si="40"/>
        <v>62929.55847902789</v>
      </c>
      <c r="H294" s="307">
        <f t="shared" si="44"/>
        <v>5572.638337685833</v>
      </c>
      <c r="I294" s="307">
        <f t="shared" si="41"/>
        <v>1510521.266279325</v>
      </c>
      <c r="J294" s="307">
        <f>SUM($H$18:$H294)</f>
        <v>7840737.964509029</v>
      </c>
    </row>
    <row r="295" spans="1:10" ht="12.75">
      <c r="A295" s="304">
        <f t="shared" si="42"/>
        <v>278</v>
      </c>
      <c r="B295" s="305">
        <f t="shared" si="36"/>
        <v>50830</v>
      </c>
      <c r="C295" s="307">
        <f t="shared" si="43"/>
        <v>1510521.266279325</v>
      </c>
      <c r="D295" s="307">
        <f t="shared" si="37"/>
        <v>68502.19681671372</v>
      </c>
      <c r="E295" s="308">
        <f t="shared" si="38"/>
        <v>0</v>
      </c>
      <c r="F295" s="307">
        <f t="shared" si="39"/>
        <v>68502.19681671372</v>
      </c>
      <c r="G295" s="307">
        <f t="shared" si="40"/>
        <v>63152.433998641114</v>
      </c>
      <c r="H295" s="307">
        <f t="shared" si="44"/>
        <v>5349.76281807261</v>
      </c>
      <c r="I295" s="307">
        <f t="shared" si="41"/>
        <v>1447368.8322806838</v>
      </c>
      <c r="J295" s="307">
        <f>SUM($H$18:$H295)</f>
        <v>7846087.727327102</v>
      </c>
    </row>
    <row r="296" spans="1:10" ht="12.75">
      <c r="A296" s="304">
        <f t="shared" si="42"/>
        <v>279</v>
      </c>
      <c r="B296" s="305">
        <f t="shared" si="36"/>
        <v>50861</v>
      </c>
      <c r="C296" s="307">
        <f t="shared" si="43"/>
        <v>1447368.8322806838</v>
      </c>
      <c r="D296" s="307">
        <f t="shared" si="37"/>
        <v>68502.19681671372</v>
      </c>
      <c r="E296" s="308">
        <f t="shared" si="38"/>
        <v>0</v>
      </c>
      <c r="F296" s="307">
        <f t="shared" si="39"/>
        <v>68502.19681671372</v>
      </c>
      <c r="G296" s="307">
        <f t="shared" si="40"/>
        <v>63376.09886905297</v>
      </c>
      <c r="H296" s="307">
        <f t="shared" si="44"/>
        <v>5126.097947660755</v>
      </c>
      <c r="I296" s="307">
        <f t="shared" si="41"/>
        <v>1383992.7334116308</v>
      </c>
      <c r="J296" s="307">
        <f>SUM($H$18:$H296)</f>
        <v>7851213.825274763</v>
      </c>
    </row>
    <row r="297" spans="1:10" ht="12.75">
      <c r="A297" s="304">
        <f t="shared" si="42"/>
        <v>280</v>
      </c>
      <c r="B297" s="305">
        <f t="shared" si="36"/>
        <v>50891</v>
      </c>
      <c r="C297" s="307">
        <f t="shared" si="43"/>
        <v>1383992.7334116308</v>
      </c>
      <c r="D297" s="307">
        <f t="shared" si="37"/>
        <v>68502.19681671372</v>
      </c>
      <c r="E297" s="308">
        <f t="shared" si="38"/>
        <v>0</v>
      </c>
      <c r="F297" s="307">
        <f t="shared" si="39"/>
        <v>68502.19681671372</v>
      </c>
      <c r="G297" s="307">
        <f t="shared" si="40"/>
        <v>63600.555885880865</v>
      </c>
      <c r="H297" s="307">
        <f t="shared" si="44"/>
        <v>4901.640930832859</v>
      </c>
      <c r="I297" s="307">
        <f t="shared" si="41"/>
        <v>1320392.17752575</v>
      </c>
      <c r="J297" s="307">
        <f>SUM($H$18:$H297)</f>
        <v>7856115.466205596</v>
      </c>
    </row>
    <row r="298" spans="1:10" ht="12.75">
      <c r="A298" s="304">
        <f t="shared" si="42"/>
        <v>281</v>
      </c>
      <c r="B298" s="305">
        <f t="shared" si="36"/>
        <v>50922</v>
      </c>
      <c r="C298" s="307">
        <f t="shared" si="43"/>
        <v>1320392.17752575</v>
      </c>
      <c r="D298" s="307">
        <f t="shared" si="37"/>
        <v>68502.19681671372</v>
      </c>
      <c r="E298" s="308">
        <f t="shared" si="38"/>
        <v>0</v>
      </c>
      <c r="F298" s="307">
        <f t="shared" si="39"/>
        <v>68502.19681671372</v>
      </c>
      <c r="G298" s="307">
        <f t="shared" si="40"/>
        <v>63825.80785464336</v>
      </c>
      <c r="H298" s="307">
        <f t="shared" si="44"/>
        <v>4676.388962070364</v>
      </c>
      <c r="I298" s="307">
        <f t="shared" si="41"/>
        <v>1256566.3696711066</v>
      </c>
      <c r="J298" s="307">
        <f>SUM($H$18:$H298)</f>
        <v>7860791.855167666</v>
      </c>
    </row>
    <row r="299" spans="1:10" ht="12.75">
      <c r="A299" s="304">
        <f t="shared" si="42"/>
        <v>282</v>
      </c>
      <c r="B299" s="305">
        <f t="shared" si="36"/>
        <v>50952</v>
      </c>
      <c r="C299" s="307">
        <f t="shared" si="43"/>
        <v>1256566.3696711066</v>
      </c>
      <c r="D299" s="307">
        <f t="shared" si="37"/>
        <v>68502.19681671372</v>
      </c>
      <c r="E299" s="308">
        <f t="shared" si="38"/>
        <v>0</v>
      </c>
      <c r="F299" s="307">
        <f t="shared" si="39"/>
        <v>68502.19681671372</v>
      </c>
      <c r="G299" s="307">
        <f t="shared" si="40"/>
        <v>64051.85759079522</v>
      </c>
      <c r="H299" s="307">
        <f t="shared" si="44"/>
        <v>4450.339225918503</v>
      </c>
      <c r="I299" s="307">
        <f t="shared" si="41"/>
        <v>1192514.5120803113</v>
      </c>
      <c r="J299" s="307">
        <f>SUM($H$18:$H299)</f>
        <v>7865242.1943935845</v>
      </c>
    </row>
    <row r="300" spans="1:10" ht="12.75">
      <c r="A300" s="304">
        <f t="shared" si="42"/>
        <v>283</v>
      </c>
      <c r="B300" s="305">
        <f t="shared" si="36"/>
        <v>50983</v>
      </c>
      <c r="C300" s="307">
        <f t="shared" si="43"/>
        <v>1192514.5120803113</v>
      </c>
      <c r="D300" s="307">
        <f t="shared" si="37"/>
        <v>68502.19681671372</v>
      </c>
      <c r="E300" s="308">
        <f t="shared" si="38"/>
        <v>0</v>
      </c>
      <c r="F300" s="307">
        <f t="shared" si="39"/>
        <v>68502.19681671372</v>
      </c>
      <c r="G300" s="307">
        <f t="shared" si="40"/>
        <v>64278.70791976262</v>
      </c>
      <c r="H300" s="307">
        <f t="shared" si="44"/>
        <v>4223.488896951103</v>
      </c>
      <c r="I300" s="307">
        <f t="shared" si="41"/>
        <v>1128235.8041605486</v>
      </c>
      <c r="J300" s="307">
        <f>SUM($H$18:$H300)</f>
        <v>7869465.683290536</v>
      </c>
    </row>
    <row r="301" spans="1:10" ht="12.75">
      <c r="A301" s="304">
        <f t="shared" si="42"/>
        <v>284</v>
      </c>
      <c r="B301" s="305">
        <f t="shared" si="36"/>
        <v>51014</v>
      </c>
      <c r="C301" s="307">
        <f t="shared" si="43"/>
        <v>1128235.8041605486</v>
      </c>
      <c r="D301" s="307">
        <f t="shared" si="37"/>
        <v>68502.19681671372</v>
      </c>
      <c r="E301" s="308">
        <f t="shared" si="38"/>
        <v>0</v>
      </c>
      <c r="F301" s="307">
        <f t="shared" si="39"/>
        <v>68502.19681671372</v>
      </c>
      <c r="G301" s="307">
        <f t="shared" si="40"/>
        <v>64506.36167697845</v>
      </c>
      <c r="H301" s="307">
        <f t="shared" si="44"/>
        <v>3995.8351397352767</v>
      </c>
      <c r="I301" s="307">
        <f t="shared" si="41"/>
        <v>1063729.4424835702</v>
      </c>
      <c r="J301" s="307">
        <f>SUM($H$18:$H301)</f>
        <v>7873461.518430271</v>
      </c>
    </row>
    <row r="302" spans="1:10" ht="12.75">
      <c r="A302" s="304">
        <f t="shared" si="42"/>
        <v>285</v>
      </c>
      <c r="B302" s="305">
        <f t="shared" si="36"/>
        <v>51044</v>
      </c>
      <c r="C302" s="307">
        <f t="shared" si="43"/>
        <v>1063729.4424835702</v>
      </c>
      <c r="D302" s="307">
        <f t="shared" si="37"/>
        <v>68502.19681671372</v>
      </c>
      <c r="E302" s="308">
        <f t="shared" si="38"/>
        <v>0</v>
      </c>
      <c r="F302" s="307">
        <f t="shared" si="39"/>
        <v>68502.19681671372</v>
      </c>
      <c r="G302" s="307">
        <f t="shared" si="40"/>
        <v>64734.82170791775</v>
      </c>
      <c r="H302" s="307">
        <f t="shared" si="44"/>
        <v>3767.3751087959777</v>
      </c>
      <c r="I302" s="307">
        <f t="shared" si="41"/>
        <v>998994.6207756525</v>
      </c>
      <c r="J302" s="307">
        <f>SUM($H$18:$H302)</f>
        <v>7877228.893539067</v>
      </c>
    </row>
    <row r="303" spans="1:10" ht="12.75">
      <c r="A303" s="304">
        <f t="shared" si="42"/>
        <v>286</v>
      </c>
      <c r="B303" s="305">
        <f t="shared" si="36"/>
        <v>51075</v>
      </c>
      <c r="C303" s="307">
        <f t="shared" si="43"/>
        <v>998994.6207756525</v>
      </c>
      <c r="D303" s="307">
        <f t="shared" si="37"/>
        <v>68502.19681671372</v>
      </c>
      <c r="E303" s="308">
        <f t="shared" si="38"/>
        <v>0</v>
      </c>
      <c r="F303" s="307">
        <f t="shared" si="39"/>
        <v>68502.19681671372</v>
      </c>
      <c r="G303" s="307">
        <f t="shared" si="40"/>
        <v>64964.09086813329</v>
      </c>
      <c r="H303" s="307">
        <f t="shared" si="44"/>
        <v>3538.1059485804362</v>
      </c>
      <c r="I303" s="307">
        <f t="shared" si="41"/>
        <v>934030.5299075192</v>
      </c>
      <c r="J303" s="307">
        <f>SUM($H$18:$H303)</f>
        <v>7880766.999487648</v>
      </c>
    </row>
    <row r="304" spans="1:10" ht="12.75">
      <c r="A304" s="304">
        <f t="shared" si="42"/>
        <v>287</v>
      </c>
      <c r="B304" s="305">
        <f t="shared" si="36"/>
        <v>51105</v>
      </c>
      <c r="C304" s="307">
        <f t="shared" si="43"/>
        <v>934030.5299075192</v>
      </c>
      <c r="D304" s="307">
        <f t="shared" si="37"/>
        <v>68502.19681671372</v>
      </c>
      <c r="E304" s="308">
        <f t="shared" si="38"/>
        <v>0</v>
      </c>
      <c r="F304" s="307">
        <f t="shared" si="39"/>
        <v>68502.19681671372</v>
      </c>
      <c r="G304" s="307">
        <f t="shared" si="40"/>
        <v>65194.17202329126</v>
      </c>
      <c r="H304" s="307">
        <f t="shared" si="44"/>
        <v>3308.0247934224644</v>
      </c>
      <c r="I304" s="307">
        <f t="shared" si="41"/>
        <v>868836.357884228</v>
      </c>
      <c r="J304" s="307">
        <f>SUM($H$18:$H304)</f>
        <v>7884075.024281071</v>
      </c>
    </row>
    <row r="305" spans="1:10" ht="12.75">
      <c r="A305" s="304">
        <f t="shared" si="42"/>
        <v>288</v>
      </c>
      <c r="B305" s="305">
        <f t="shared" si="36"/>
        <v>51136</v>
      </c>
      <c r="C305" s="307">
        <f t="shared" si="43"/>
        <v>868836.357884228</v>
      </c>
      <c r="D305" s="307">
        <f t="shared" si="37"/>
        <v>68502.19681671372</v>
      </c>
      <c r="E305" s="308">
        <f t="shared" si="38"/>
        <v>0</v>
      </c>
      <c r="F305" s="307">
        <f t="shared" si="39"/>
        <v>68502.19681671372</v>
      </c>
      <c r="G305" s="307">
        <f t="shared" si="40"/>
        <v>65425.06804920708</v>
      </c>
      <c r="H305" s="307">
        <f t="shared" si="44"/>
        <v>3077.128767506641</v>
      </c>
      <c r="I305" s="307">
        <f t="shared" si="41"/>
        <v>803411.2898350209</v>
      </c>
      <c r="J305" s="307">
        <f>SUM($H$18:$H305)</f>
        <v>7887152.153048577</v>
      </c>
    </row>
    <row r="306" spans="1:10" ht="12.75">
      <c r="A306" s="304">
        <f t="shared" si="42"/>
        <v>289</v>
      </c>
      <c r="B306" s="305">
        <f t="shared" si="36"/>
        <v>51167</v>
      </c>
      <c r="C306" s="307">
        <f t="shared" si="43"/>
        <v>803411.2898350209</v>
      </c>
      <c r="D306" s="307">
        <f t="shared" si="37"/>
        <v>68502.19681671372</v>
      </c>
      <c r="E306" s="308">
        <f t="shared" si="38"/>
        <v>0</v>
      </c>
      <c r="F306" s="307">
        <f t="shared" si="39"/>
        <v>68502.19681671372</v>
      </c>
      <c r="G306" s="307">
        <f t="shared" si="40"/>
        <v>65656.78183188135</v>
      </c>
      <c r="H306" s="307">
        <f t="shared" si="44"/>
        <v>2845.4149848323655</v>
      </c>
      <c r="I306" s="307">
        <f t="shared" si="41"/>
        <v>737754.5080031395</v>
      </c>
      <c r="J306" s="307">
        <f>SUM($H$18:$H306)</f>
        <v>7889997.568033409</v>
      </c>
    </row>
    <row r="307" spans="1:10" ht="12.75">
      <c r="A307" s="304">
        <f t="shared" si="42"/>
        <v>290</v>
      </c>
      <c r="B307" s="305">
        <f t="shared" si="36"/>
        <v>51196</v>
      </c>
      <c r="C307" s="307">
        <f t="shared" si="43"/>
        <v>737754.5080031395</v>
      </c>
      <c r="D307" s="307">
        <f t="shared" si="37"/>
        <v>68502.19681671372</v>
      </c>
      <c r="E307" s="308">
        <f t="shared" si="38"/>
        <v>0</v>
      </c>
      <c r="F307" s="307">
        <f t="shared" si="39"/>
        <v>68502.19681671372</v>
      </c>
      <c r="G307" s="307">
        <f t="shared" si="40"/>
        <v>65889.31626753593</v>
      </c>
      <c r="H307" s="307">
        <f t="shared" si="44"/>
        <v>2612.880549177786</v>
      </c>
      <c r="I307" s="307">
        <f t="shared" si="41"/>
        <v>671865.1917356036</v>
      </c>
      <c r="J307" s="307">
        <f>SUM($H$18:$H307)</f>
        <v>7892610.448582587</v>
      </c>
    </row>
    <row r="308" spans="1:10" ht="12.75">
      <c r="A308" s="304">
        <f t="shared" si="42"/>
        <v>291</v>
      </c>
      <c r="B308" s="305">
        <f t="shared" si="36"/>
        <v>51227</v>
      </c>
      <c r="C308" s="307">
        <f t="shared" si="43"/>
        <v>671865.1917356036</v>
      </c>
      <c r="D308" s="307">
        <f t="shared" si="37"/>
        <v>68502.19681671372</v>
      </c>
      <c r="E308" s="308">
        <f t="shared" si="38"/>
        <v>0</v>
      </c>
      <c r="F308" s="307">
        <f t="shared" si="39"/>
        <v>68502.19681671372</v>
      </c>
      <c r="G308" s="307">
        <f t="shared" si="40"/>
        <v>66122.67426265012</v>
      </c>
      <c r="H308" s="307">
        <f t="shared" si="44"/>
        <v>2379.522554063596</v>
      </c>
      <c r="I308" s="307">
        <f t="shared" si="41"/>
        <v>605742.5174729535</v>
      </c>
      <c r="J308" s="307">
        <f>SUM($H$18:$H308)</f>
        <v>7894989.97113665</v>
      </c>
    </row>
    <row r="309" spans="1:10" ht="12.75">
      <c r="A309" s="304">
        <f t="shared" si="42"/>
        <v>292</v>
      </c>
      <c r="B309" s="305">
        <f t="shared" si="36"/>
        <v>51257</v>
      </c>
      <c r="C309" s="307">
        <f t="shared" si="43"/>
        <v>605742.5174729535</v>
      </c>
      <c r="D309" s="307">
        <f t="shared" si="37"/>
        <v>68502.19681671372</v>
      </c>
      <c r="E309" s="308">
        <f t="shared" si="38"/>
        <v>0</v>
      </c>
      <c r="F309" s="307">
        <f t="shared" si="39"/>
        <v>68502.19681671372</v>
      </c>
      <c r="G309" s="307">
        <f t="shared" si="40"/>
        <v>66356.85873399701</v>
      </c>
      <c r="H309" s="307">
        <f t="shared" si="44"/>
        <v>2145.3380827167107</v>
      </c>
      <c r="I309" s="307">
        <f t="shared" si="41"/>
        <v>539385.6587389566</v>
      </c>
      <c r="J309" s="307">
        <f>SUM($H$18:$H309)</f>
        <v>7897135.309219367</v>
      </c>
    </row>
    <row r="310" spans="1:10" ht="12.75">
      <c r="A310" s="304">
        <f t="shared" si="42"/>
        <v>293</v>
      </c>
      <c r="B310" s="305">
        <f t="shared" si="36"/>
        <v>51288</v>
      </c>
      <c r="C310" s="307">
        <f t="shared" si="43"/>
        <v>539385.6587389566</v>
      </c>
      <c r="D310" s="307">
        <f t="shared" si="37"/>
        <v>68502.19681671372</v>
      </c>
      <c r="E310" s="308">
        <f t="shared" si="38"/>
        <v>0</v>
      </c>
      <c r="F310" s="307">
        <f t="shared" si="39"/>
        <v>68502.19681671372</v>
      </c>
      <c r="G310" s="307">
        <f t="shared" si="40"/>
        <v>66591.87260867991</v>
      </c>
      <c r="H310" s="307">
        <f t="shared" si="44"/>
        <v>1910.3242080338048</v>
      </c>
      <c r="I310" s="307">
        <f t="shared" si="41"/>
        <v>472793.7861302766</v>
      </c>
      <c r="J310" s="307">
        <f>SUM($H$18:$H310)</f>
        <v>7899045.633427401</v>
      </c>
    </row>
    <row r="311" spans="1:10" ht="12.75">
      <c r="A311" s="304">
        <f t="shared" si="42"/>
        <v>294</v>
      </c>
      <c r="B311" s="305">
        <f t="shared" si="36"/>
        <v>51318</v>
      </c>
      <c r="C311" s="307">
        <f t="shared" si="43"/>
        <v>472793.7861302766</v>
      </c>
      <c r="D311" s="307">
        <f t="shared" si="37"/>
        <v>68502.19681671372</v>
      </c>
      <c r="E311" s="308">
        <f t="shared" si="38"/>
        <v>0</v>
      </c>
      <c r="F311" s="307">
        <f t="shared" si="39"/>
        <v>68502.19681671372</v>
      </c>
      <c r="G311" s="307">
        <f t="shared" si="40"/>
        <v>66827.71882416899</v>
      </c>
      <c r="H311" s="307">
        <f t="shared" si="44"/>
        <v>1674.47799254473</v>
      </c>
      <c r="I311" s="307">
        <f t="shared" si="41"/>
        <v>405966.0673061076</v>
      </c>
      <c r="J311" s="307">
        <f>SUM($H$18:$H311)</f>
        <v>7900720.111419946</v>
      </c>
    </row>
    <row r="312" spans="1:10" ht="12.75">
      <c r="A312" s="304">
        <f t="shared" si="42"/>
        <v>295</v>
      </c>
      <c r="B312" s="305">
        <f t="shared" si="36"/>
        <v>51349</v>
      </c>
      <c r="C312" s="307">
        <f t="shared" si="43"/>
        <v>405966.0673061076</v>
      </c>
      <c r="D312" s="307">
        <f t="shared" si="37"/>
        <v>68502.19681671372</v>
      </c>
      <c r="E312" s="308">
        <f t="shared" si="38"/>
        <v>0</v>
      </c>
      <c r="F312" s="307">
        <f t="shared" si="39"/>
        <v>68502.19681671372</v>
      </c>
      <c r="G312" s="307">
        <f t="shared" si="40"/>
        <v>67064.40032833793</v>
      </c>
      <c r="H312" s="307">
        <f t="shared" si="44"/>
        <v>1437.796488375798</v>
      </c>
      <c r="I312" s="307">
        <f t="shared" si="41"/>
        <v>338901.6669777697</v>
      </c>
      <c r="J312" s="307">
        <f>SUM($H$18:$H312)</f>
        <v>7902157.907908321</v>
      </c>
    </row>
    <row r="313" spans="1:10" ht="12.75">
      <c r="A313" s="304">
        <f t="shared" si="42"/>
        <v>296</v>
      </c>
      <c r="B313" s="305">
        <f t="shared" si="36"/>
        <v>51380</v>
      </c>
      <c r="C313" s="307">
        <f t="shared" si="43"/>
        <v>338901.6669777697</v>
      </c>
      <c r="D313" s="307">
        <f t="shared" si="37"/>
        <v>68502.19681671372</v>
      </c>
      <c r="E313" s="308">
        <f t="shared" si="38"/>
        <v>0</v>
      </c>
      <c r="F313" s="307">
        <f t="shared" si="39"/>
        <v>68502.19681671372</v>
      </c>
      <c r="G313" s="307">
        <f t="shared" si="40"/>
        <v>67301.9200795008</v>
      </c>
      <c r="H313" s="307">
        <f t="shared" si="44"/>
        <v>1200.2767372129344</v>
      </c>
      <c r="I313" s="307">
        <f t="shared" si="41"/>
        <v>271599.74689826893</v>
      </c>
      <c r="J313" s="307">
        <f>SUM($H$18:$H313)</f>
        <v>7903358.1846455345</v>
      </c>
    </row>
    <row r="314" spans="1:10" ht="12.75">
      <c r="A314" s="304">
        <f t="shared" si="42"/>
        <v>297</v>
      </c>
      <c r="B314" s="305">
        <f t="shared" si="36"/>
        <v>51410</v>
      </c>
      <c r="C314" s="307">
        <f t="shared" si="43"/>
        <v>271599.74689826893</v>
      </c>
      <c r="D314" s="307">
        <f t="shared" si="37"/>
        <v>68502.19681671372</v>
      </c>
      <c r="E314" s="308">
        <f t="shared" si="38"/>
        <v>0</v>
      </c>
      <c r="F314" s="307">
        <f t="shared" si="39"/>
        <v>68502.19681671372</v>
      </c>
      <c r="G314" s="307">
        <f t="shared" si="40"/>
        <v>67540.28104644902</v>
      </c>
      <c r="H314" s="307">
        <f t="shared" si="44"/>
        <v>961.9157702647026</v>
      </c>
      <c r="I314" s="307">
        <f t="shared" si="41"/>
        <v>204059.4658518199</v>
      </c>
      <c r="J314" s="307">
        <f>SUM($H$18:$H314)</f>
        <v>7904320.100415799</v>
      </c>
    </row>
    <row r="315" spans="1:10" ht="12.75">
      <c r="A315" s="304">
        <f t="shared" si="42"/>
        <v>298</v>
      </c>
      <c r="B315" s="305">
        <f t="shared" si="36"/>
        <v>51441</v>
      </c>
      <c r="C315" s="307">
        <f t="shared" si="43"/>
        <v>204059.4658518199</v>
      </c>
      <c r="D315" s="307">
        <f t="shared" si="37"/>
        <v>68502.19681671372</v>
      </c>
      <c r="E315" s="308">
        <f t="shared" si="38"/>
        <v>0</v>
      </c>
      <c r="F315" s="307">
        <f t="shared" si="39"/>
        <v>68502.19681671372</v>
      </c>
      <c r="G315" s="307">
        <f t="shared" si="40"/>
        <v>67779.48620848852</v>
      </c>
      <c r="H315" s="307">
        <f t="shared" si="44"/>
        <v>722.7106082251956</v>
      </c>
      <c r="I315" s="307">
        <f t="shared" si="41"/>
        <v>136279.97964333137</v>
      </c>
      <c r="J315" s="307">
        <f>SUM($H$18:$H315)</f>
        <v>7905042.811024024</v>
      </c>
    </row>
    <row r="316" spans="1:10" ht="12.75">
      <c r="A316" s="304">
        <f t="shared" si="42"/>
        <v>299</v>
      </c>
      <c r="B316" s="305">
        <f t="shared" si="36"/>
        <v>51471</v>
      </c>
      <c r="C316" s="307">
        <f t="shared" si="43"/>
        <v>136279.97964333137</v>
      </c>
      <c r="D316" s="307">
        <f t="shared" si="37"/>
        <v>68502.19681671372</v>
      </c>
      <c r="E316" s="308">
        <f t="shared" si="38"/>
        <v>0</v>
      </c>
      <c r="F316" s="307">
        <f t="shared" si="39"/>
        <v>68502.19681671372</v>
      </c>
      <c r="G316" s="307">
        <f t="shared" si="40"/>
        <v>68019.53855547693</v>
      </c>
      <c r="H316" s="307">
        <f t="shared" si="44"/>
        <v>482.65826123679864</v>
      </c>
      <c r="I316" s="307">
        <f t="shared" si="41"/>
        <v>68260.44108785444</v>
      </c>
      <c r="J316" s="307">
        <f>SUM($H$18:$H316)</f>
        <v>7905525.469285261</v>
      </c>
    </row>
    <row r="317" spans="1:10" ht="12.75">
      <c r="A317" s="304">
        <f t="shared" si="42"/>
        <v>300</v>
      </c>
      <c r="B317" s="305">
        <f t="shared" si="36"/>
        <v>51502</v>
      </c>
      <c r="C317" s="307">
        <f t="shared" si="43"/>
        <v>68260.44108785444</v>
      </c>
      <c r="D317" s="307">
        <f t="shared" si="37"/>
        <v>68502.19681671372</v>
      </c>
      <c r="E317" s="308">
        <f t="shared" si="38"/>
        <v>0</v>
      </c>
      <c r="F317" s="307">
        <f t="shared" si="39"/>
        <v>68260.44108785444</v>
      </c>
      <c r="G317" s="307">
        <f t="shared" si="40"/>
        <v>68018.68535900163</v>
      </c>
      <c r="H317" s="307">
        <f t="shared" si="44"/>
        <v>241.75572885281784</v>
      </c>
      <c r="I317" s="307">
        <f t="shared" si="41"/>
        <v>0</v>
      </c>
      <c r="J317" s="307">
        <f>SUM($H$18:$H317)</f>
        <v>7905767.225014114</v>
      </c>
    </row>
    <row r="318" spans="1:10" ht="12.75">
      <c r="A318" s="304">
        <f t="shared" si="42"/>
        <v>301</v>
      </c>
      <c r="B318" s="305">
        <f t="shared" si="36"/>
        <v>51533</v>
      </c>
      <c r="C318" s="307">
        <f t="shared" si="43"/>
        <v>0</v>
      </c>
      <c r="D318" s="307">
        <f t="shared" si="37"/>
        <v>68502.19681671372</v>
      </c>
      <c r="E318" s="308">
        <f t="shared" si="38"/>
        <v>0</v>
      </c>
      <c r="F318" s="307">
        <f t="shared" si="39"/>
        <v>0</v>
      </c>
      <c r="G318" s="307">
        <f t="shared" si="40"/>
        <v>0</v>
      </c>
      <c r="H318" s="307">
        <f t="shared" si="44"/>
        <v>0</v>
      </c>
      <c r="I318" s="307">
        <f t="shared" si="41"/>
        <v>0</v>
      </c>
      <c r="J318" s="307">
        <f>SUM($H$18:$H318)</f>
        <v>7905767.225014114</v>
      </c>
    </row>
    <row r="319" spans="1:10" ht="12.75">
      <c r="A319" s="304">
        <f t="shared" si="42"/>
        <v>302</v>
      </c>
      <c r="B319" s="305">
        <f t="shared" si="36"/>
        <v>51561</v>
      </c>
      <c r="C319" s="307">
        <f t="shared" si="43"/>
        <v>0</v>
      </c>
      <c r="D319" s="307">
        <f t="shared" si="37"/>
        <v>68502.19681671372</v>
      </c>
      <c r="E319" s="308">
        <f t="shared" si="38"/>
        <v>0</v>
      </c>
      <c r="F319" s="307">
        <f t="shared" si="39"/>
        <v>0</v>
      </c>
      <c r="G319" s="307">
        <f t="shared" si="40"/>
        <v>0</v>
      </c>
      <c r="H319" s="307">
        <f t="shared" si="44"/>
        <v>0</v>
      </c>
      <c r="I319" s="307">
        <f t="shared" si="41"/>
        <v>0</v>
      </c>
      <c r="J319" s="307">
        <f>SUM($H$18:$H319)</f>
        <v>7905767.225014114</v>
      </c>
    </row>
    <row r="320" spans="1:10" ht="12.75">
      <c r="A320" s="304">
        <f t="shared" si="42"/>
        <v>303</v>
      </c>
      <c r="B320" s="305">
        <f t="shared" si="36"/>
        <v>51592</v>
      </c>
      <c r="C320" s="307">
        <f t="shared" si="43"/>
        <v>0</v>
      </c>
      <c r="D320" s="307">
        <f t="shared" si="37"/>
        <v>68502.19681671372</v>
      </c>
      <c r="E320" s="308">
        <f t="shared" si="38"/>
        <v>0</v>
      </c>
      <c r="F320" s="307">
        <f t="shared" si="39"/>
        <v>0</v>
      </c>
      <c r="G320" s="307">
        <f t="shared" si="40"/>
        <v>0</v>
      </c>
      <c r="H320" s="307">
        <f t="shared" si="44"/>
        <v>0</v>
      </c>
      <c r="I320" s="307">
        <f t="shared" si="41"/>
        <v>0</v>
      </c>
      <c r="J320" s="307">
        <f>SUM($H$18:$H320)</f>
        <v>7905767.225014114</v>
      </c>
    </row>
    <row r="321" spans="1:10" ht="12.75">
      <c r="A321" s="304">
        <f t="shared" si="42"/>
        <v>304</v>
      </c>
      <c r="B321" s="305">
        <f t="shared" si="36"/>
        <v>51622</v>
      </c>
      <c r="C321" s="307">
        <f t="shared" si="43"/>
        <v>0</v>
      </c>
      <c r="D321" s="307">
        <f t="shared" si="37"/>
        <v>68502.19681671372</v>
      </c>
      <c r="E321" s="308">
        <f t="shared" si="38"/>
        <v>0</v>
      </c>
      <c r="F321" s="307">
        <f t="shared" si="39"/>
        <v>0</v>
      </c>
      <c r="G321" s="307">
        <f t="shared" si="40"/>
        <v>0</v>
      </c>
      <c r="H321" s="307">
        <f t="shared" si="44"/>
        <v>0</v>
      </c>
      <c r="I321" s="307">
        <f t="shared" si="41"/>
        <v>0</v>
      </c>
      <c r="J321" s="307">
        <f>SUM($H$18:$H321)</f>
        <v>7905767.225014114</v>
      </c>
    </row>
    <row r="322" spans="1:10" ht="12.75">
      <c r="A322" s="304">
        <f t="shared" si="42"/>
        <v>305</v>
      </c>
      <c r="B322" s="305">
        <f t="shared" si="36"/>
        <v>51653</v>
      </c>
      <c r="C322" s="307">
        <f t="shared" si="43"/>
        <v>0</v>
      </c>
      <c r="D322" s="307">
        <f t="shared" si="37"/>
        <v>68502.19681671372</v>
      </c>
      <c r="E322" s="308">
        <f t="shared" si="38"/>
        <v>0</v>
      </c>
      <c r="F322" s="307">
        <f t="shared" si="39"/>
        <v>0</v>
      </c>
      <c r="G322" s="307">
        <f t="shared" si="40"/>
        <v>0</v>
      </c>
      <c r="H322" s="307">
        <f t="shared" si="44"/>
        <v>0</v>
      </c>
      <c r="I322" s="307">
        <f t="shared" si="41"/>
        <v>0</v>
      </c>
      <c r="J322" s="307">
        <f>SUM($H$18:$H322)</f>
        <v>7905767.225014114</v>
      </c>
    </row>
    <row r="323" spans="1:10" ht="12.75">
      <c r="A323" s="304">
        <f t="shared" si="42"/>
        <v>306</v>
      </c>
      <c r="B323" s="305">
        <f t="shared" si="36"/>
        <v>51683</v>
      </c>
      <c r="C323" s="307">
        <f t="shared" si="43"/>
        <v>0</v>
      </c>
      <c r="D323" s="307">
        <f t="shared" si="37"/>
        <v>68502.19681671372</v>
      </c>
      <c r="E323" s="308">
        <f t="shared" si="38"/>
        <v>0</v>
      </c>
      <c r="F323" s="307">
        <f t="shared" si="39"/>
        <v>0</v>
      </c>
      <c r="G323" s="307">
        <f t="shared" si="40"/>
        <v>0</v>
      </c>
      <c r="H323" s="307">
        <f t="shared" si="44"/>
        <v>0</v>
      </c>
      <c r="I323" s="307">
        <f t="shared" si="41"/>
        <v>0</v>
      </c>
      <c r="J323" s="307">
        <f>SUM($H$18:$H323)</f>
        <v>7905767.225014114</v>
      </c>
    </row>
    <row r="324" spans="1:10" ht="12.75">
      <c r="A324" s="304">
        <f t="shared" si="42"/>
        <v>307</v>
      </c>
      <c r="B324" s="305">
        <f t="shared" si="36"/>
        <v>51714</v>
      </c>
      <c r="C324" s="307">
        <f t="shared" si="43"/>
        <v>0</v>
      </c>
      <c r="D324" s="307">
        <f t="shared" si="37"/>
        <v>68502.19681671372</v>
      </c>
      <c r="E324" s="308">
        <f t="shared" si="38"/>
        <v>0</v>
      </c>
      <c r="F324" s="307">
        <f t="shared" si="39"/>
        <v>0</v>
      </c>
      <c r="G324" s="307">
        <f t="shared" si="40"/>
        <v>0</v>
      </c>
      <c r="H324" s="307">
        <f t="shared" si="44"/>
        <v>0</v>
      </c>
      <c r="I324" s="307">
        <f t="shared" si="41"/>
        <v>0</v>
      </c>
      <c r="J324" s="307">
        <f>SUM($H$18:$H324)</f>
        <v>7905767.225014114</v>
      </c>
    </row>
    <row r="325" spans="1:10" ht="12.75">
      <c r="A325" s="304">
        <f t="shared" si="42"/>
        <v>308</v>
      </c>
      <c r="B325" s="305">
        <f t="shared" si="36"/>
        <v>51745</v>
      </c>
      <c r="C325" s="307">
        <f t="shared" si="43"/>
        <v>0</v>
      </c>
      <c r="D325" s="307">
        <f t="shared" si="37"/>
        <v>68502.19681671372</v>
      </c>
      <c r="E325" s="308">
        <f t="shared" si="38"/>
        <v>0</v>
      </c>
      <c r="F325" s="307">
        <f t="shared" si="39"/>
        <v>0</v>
      </c>
      <c r="G325" s="307">
        <f t="shared" si="40"/>
        <v>0</v>
      </c>
      <c r="H325" s="307">
        <f t="shared" si="44"/>
        <v>0</v>
      </c>
      <c r="I325" s="307">
        <f t="shared" si="41"/>
        <v>0</v>
      </c>
      <c r="J325" s="307">
        <f>SUM($H$18:$H325)</f>
        <v>7905767.225014114</v>
      </c>
    </row>
    <row r="326" spans="1:10" ht="12.75">
      <c r="A326" s="304">
        <f t="shared" si="42"/>
        <v>309</v>
      </c>
      <c r="B326" s="305">
        <f t="shared" si="36"/>
        <v>51775</v>
      </c>
      <c r="C326" s="307">
        <f t="shared" si="43"/>
        <v>0</v>
      </c>
      <c r="D326" s="307">
        <f t="shared" si="37"/>
        <v>68502.19681671372</v>
      </c>
      <c r="E326" s="308">
        <f t="shared" si="38"/>
        <v>0</v>
      </c>
      <c r="F326" s="307">
        <f t="shared" si="39"/>
        <v>0</v>
      </c>
      <c r="G326" s="307">
        <f t="shared" si="40"/>
        <v>0</v>
      </c>
      <c r="H326" s="307">
        <f t="shared" si="44"/>
        <v>0</v>
      </c>
      <c r="I326" s="307">
        <f t="shared" si="41"/>
        <v>0</v>
      </c>
      <c r="J326" s="307">
        <f>SUM($H$18:$H326)</f>
        <v>7905767.225014114</v>
      </c>
    </row>
    <row r="327" spans="1:10" ht="12.75">
      <c r="A327" s="304">
        <f t="shared" si="42"/>
        <v>310</v>
      </c>
      <c r="B327" s="305">
        <f t="shared" si="36"/>
        <v>51806</v>
      </c>
      <c r="C327" s="307">
        <f t="shared" si="43"/>
        <v>0</v>
      </c>
      <c r="D327" s="307">
        <f t="shared" si="37"/>
        <v>68502.19681671372</v>
      </c>
      <c r="E327" s="308">
        <f t="shared" si="38"/>
        <v>0</v>
      </c>
      <c r="F327" s="307">
        <f t="shared" si="39"/>
        <v>0</v>
      </c>
      <c r="G327" s="307">
        <f t="shared" si="40"/>
        <v>0</v>
      </c>
      <c r="H327" s="307">
        <f t="shared" si="44"/>
        <v>0</v>
      </c>
      <c r="I327" s="307">
        <f t="shared" si="41"/>
        <v>0</v>
      </c>
      <c r="J327" s="307">
        <f>SUM($H$18:$H327)</f>
        <v>7905767.225014114</v>
      </c>
    </row>
    <row r="328" spans="1:10" ht="12.75">
      <c r="A328" s="304">
        <f t="shared" si="42"/>
        <v>311</v>
      </c>
      <c r="B328" s="305">
        <f t="shared" si="36"/>
        <v>51836</v>
      </c>
      <c r="C328" s="307">
        <f t="shared" si="43"/>
        <v>0</v>
      </c>
      <c r="D328" s="307">
        <f t="shared" si="37"/>
        <v>68502.19681671372</v>
      </c>
      <c r="E328" s="308">
        <f t="shared" si="38"/>
        <v>0</v>
      </c>
      <c r="F328" s="307">
        <f t="shared" si="39"/>
        <v>0</v>
      </c>
      <c r="G328" s="307">
        <f t="shared" si="40"/>
        <v>0</v>
      </c>
      <c r="H328" s="307">
        <f t="shared" si="44"/>
        <v>0</v>
      </c>
      <c r="I328" s="307">
        <f t="shared" si="41"/>
        <v>0</v>
      </c>
      <c r="J328" s="307">
        <f>SUM($H$18:$H328)</f>
        <v>7905767.225014114</v>
      </c>
    </row>
    <row r="329" spans="1:10" ht="12.75">
      <c r="A329" s="304">
        <f t="shared" si="42"/>
        <v>312</v>
      </c>
      <c r="B329" s="305">
        <f t="shared" si="36"/>
        <v>51867</v>
      </c>
      <c r="C329" s="307">
        <f t="shared" si="43"/>
        <v>0</v>
      </c>
      <c r="D329" s="307">
        <f t="shared" si="37"/>
        <v>68502.19681671372</v>
      </c>
      <c r="E329" s="308">
        <f t="shared" si="38"/>
        <v>0</v>
      </c>
      <c r="F329" s="307">
        <f t="shared" si="39"/>
        <v>0</v>
      </c>
      <c r="G329" s="307">
        <f t="shared" si="40"/>
        <v>0</v>
      </c>
      <c r="H329" s="307">
        <f t="shared" si="44"/>
        <v>0</v>
      </c>
      <c r="I329" s="307">
        <f t="shared" si="41"/>
        <v>0</v>
      </c>
      <c r="J329" s="307">
        <f>SUM($H$18:$H329)</f>
        <v>7905767.225014114</v>
      </c>
    </row>
    <row r="330" spans="1:10" ht="12.75">
      <c r="A330" s="304">
        <f t="shared" si="42"/>
        <v>313</v>
      </c>
      <c r="B330" s="305">
        <f t="shared" si="36"/>
        <v>51898</v>
      </c>
      <c r="C330" s="307">
        <f t="shared" si="43"/>
        <v>0</v>
      </c>
      <c r="D330" s="307">
        <f t="shared" si="37"/>
        <v>68502.19681671372</v>
      </c>
      <c r="E330" s="308">
        <f t="shared" si="38"/>
        <v>0</v>
      </c>
      <c r="F330" s="307">
        <f t="shared" si="39"/>
        <v>0</v>
      </c>
      <c r="G330" s="307">
        <f t="shared" si="40"/>
        <v>0</v>
      </c>
      <c r="H330" s="307">
        <f t="shared" si="44"/>
        <v>0</v>
      </c>
      <c r="I330" s="307">
        <f t="shared" si="41"/>
        <v>0</v>
      </c>
      <c r="J330" s="307">
        <f>SUM($H$18:$H330)</f>
        <v>7905767.225014114</v>
      </c>
    </row>
    <row r="331" spans="1:10" ht="12.75">
      <c r="A331" s="304">
        <f t="shared" si="42"/>
        <v>314</v>
      </c>
      <c r="B331" s="305">
        <f t="shared" si="36"/>
        <v>51926</v>
      </c>
      <c r="C331" s="307">
        <f t="shared" si="43"/>
        <v>0</v>
      </c>
      <c r="D331" s="307">
        <f t="shared" si="37"/>
        <v>68502.19681671372</v>
      </c>
      <c r="E331" s="308">
        <f t="shared" si="38"/>
        <v>0</v>
      </c>
      <c r="F331" s="307">
        <f t="shared" si="39"/>
        <v>0</v>
      </c>
      <c r="G331" s="307">
        <f t="shared" si="40"/>
        <v>0</v>
      </c>
      <c r="H331" s="307">
        <f t="shared" si="44"/>
        <v>0</v>
      </c>
      <c r="I331" s="307">
        <f t="shared" si="41"/>
        <v>0</v>
      </c>
      <c r="J331" s="307">
        <f>SUM($H$18:$H331)</f>
        <v>7905767.225014114</v>
      </c>
    </row>
    <row r="332" spans="1:10" ht="12.75">
      <c r="A332" s="304">
        <f t="shared" si="42"/>
        <v>315</v>
      </c>
      <c r="B332" s="305">
        <f t="shared" si="36"/>
        <v>51957</v>
      </c>
      <c r="C332" s="307">
        <f t="shared" si="43"/>
        <v>0</v>
      </c>
      <c r="D332" s="307">
        <f t="shared" si="37"/>
        <v>68502.19681671372</v>
      </c>
      <c r="E332" s="308">
        <f t="shared" si="38"/>
        <v>0</v>
      </c>
      <c r="F332" s="307">
        <f t="shared" si="39"/>
        <v>0</v>
      </c>
      <c r="G332" s="307">
        <f t="shared" si="40"/>
        <v>0</v>
      </c>
      <c r="H332" s="307">
        <f t="shared" si="44"/>
        <v>0</v>
      </c>
      <c r="I332" s="307">
        <f t="shared" si="41"/>
        <v>0</v>
      </c>
      <c r="J332" s="307">
        <f>SUM($H$18:$H332)</f>
        <v>7905767.225014114</v>
      </c>
    </row>
    <row r="333" spans="1:10" ht="12.75">
      <c r="A333" s="304">
        <f t="shared" si="42"/>
        <v>316</v>
      </c>
      <c r="B333" s="305">
        <f t="shared" si="36"/>
        <v>51987</v>
      </c>
      <c r="C333" s="307">
        <f t="shared" si="43"/>
        <v>0</v>
      </c>
      <c r="D333" s="307">
        <f t="shared" si="37"/>
        <v>68502.19681671372</v>
      </c>
      <c r="E333" s="308">
        <f t="shared" si="38"/>
        <v>0</v>
      </c>
      <c r="F333" s="307">
        <f t="shared" si="39"/>
        <v>0</v>
      </c>
      <c r="G333" s="307">
        <f t="shared" si="40"/>
        <v>0</v>
      </c>
      <c r="H333" s="307">
        <f t="shared" si="44"/>
        <v>0</v>
      </c>
      <c r="I333" s="307">
        <f t="shared" si="41"/>
        <v>0</v>
      </c>
      <c r="J333" s="307">
        <f>SUM($H$18:$H333)</f>
        <v>7905767.225014114</v>
      </c>
    </row>
    <row r="334" spans="1:10" ht="12.75">
      <c r="A334" s="304">
        <f t="shared" si="42"/>
        <v>317</v>
      </c>
      <c r="B334" s="305">
        <f t="shared" si="36"/>
        <v>52018</v>
      </c>
      <c r="C334" s="307">
        <f t="shared" si="43"/>
        <v>0</v>
      </c>
      <c r="D334" s="307">
        <f t="shared" si="37"/>
        <v>68502.19681671372</v>
      </c>
      <c r="E334" s="308">
        <f t="shared" si="38"/>
        <v>0</v>
      </c>
      <c r="F334" s="307">
        <f t="shared" si="39"/>
        <v>0</v>
      </c>
      <c r="G334" s="307">
        <f t="shared" si="40"/>
        <v>0</v>
      </c>
      <c r="H334" s="307">
        <f t="shared" si="44"/>
        <v>0</v>
      </c>
      <c r="I334" s="307">
        <f t="shared" si="41"/>
        <v>0</v>
      </c>
      <c r="J334" s="307">
        <f>SUM($H$18:$H334)</f>
        <v>7905767.225014114</v>
      </c>
    </row>
    <row r="335" spans="1:10" ht="12.75">
      <c r="A335" s="304">
        <f t="shared" si="42"/>
        <v>318</v>
      </c>
      <c r="B335" s="305">
        <f t="shared" si="36"/>
        <v>52048</v>
      </c>
      <c r="C335" s="307">
        <f t="shared" si="43"/>
        <v>0</v>
      </c>
      <c r="D335" s="307">
        <f t="shared" si="37"/>
        <v>68502.19681671372</v>
      </c>
      <c r="E335" s="308">
        <f t="shared" si="38"/>
        <v>0</v>
      </c>
      <c r="F335" s="307">
        <f t="shared" si="39"/>
        <v>0</v>
      </c>
      <c r="G335" s="307">
        <f t="shared" si="40"/>
        <v>0</v>
      </c>
      <c r="H335" s="307">
        <f t="shared" si="44"/>
        <v>0</v>
      </c>
      <c r="I335" s="307">
        <f t="shared" si="41"/>
        <v>0</v>
      </c>
      <c r="J335" s="307">
        <f>SUM($H$18:$H335)</f>
        <v>7905767.225014114</v>
      </c>
    </row>
    <row r="336" spans="1:10" ht="12.75">
      <c r="A336" s="304">
        <f t="shared" si="42"/>
        <v>319</v>
      </c>
      <c r="B336" s="305">
        <f t="shared" si="36"/>
        <v>52079</v>
      </c>
      <c r="C336" s="307">
        <f t="shared" si="43"/>
        <v>0</v>
      </c>
      <c r="D336" s="307">
        <f t="shared" si="37"/>
        <v>68502.19681671372</v>
      </c>
      <c r="E336" s="308">
        <f t="shared" si="38"/>
        <v>0</v>
      </c>
      <c r="F336" s="307">
        <f t="shared" si="39"/>
        <v>0</v>
      </c>
      <c r="G336" s="307">
        <f t="shared" si="40"/>
        <v>0</v>
      </c>
      <c r="H336" s="307">
        <f t="shared" si="44"/>
        <v>0</v>
      </c>
      <c r="I336" s="307">
        <f t="shared" si="41"/>
        <v>0</v>
      </c>
      <c r="J336" s="307">
        <f>SUM($H$18:$H336)</f>
        <v>7905767.225014114</v>
      </c>
    </row>
    <row r="337" spans="1:10" ht="12.75">
      <c r="A337" s="304">
        <f t="shared" si="42"/>
        <v>320</v>
      </c>
      <c r="B337" s="305">
        <f t="shared" si="36"/>
        <v>52110</v>
      </c>
      <c r="C337" s="307">
        <f t="shared" si="43"/>
        <v>0</v>
      </c>
      <c r="D337" s="307">
        <f t="shared" si="37"/>
        <v>68502.19681671372</v>
      </c>
      <c r="E337" s="308">
        <f t="shared" si="38"/>
        <v>0</v>
      </c>
      <c r="F337" s="307">
        <f t="shared" si="39"/>
        <v>0</v>
      </c>
      <c r="G337" s="307">
        <f t="shared" si="40"/>
        <v>0</v>
      </c>
      <c r="H337" s="307">
        <f t="shared" si="44"/>
        <v>0</v>
      </c>
      <c r="I337" s="307">
        <f t="shared" si="41"/>
        <v>0</v>
      </c>
      <c r="J337" s="307">
        <f>SUM($H$18:$H337)</f>
        <v>7905767.225014114</v>
      </c>
    </row>
    <row r="338" spans="1:10" ht="12.75">
      <c r="A338" s="304">
        <f t="shared" si="42"/>
        <v>321</v>
      </c>
      <c r="B338" s="305">
        <f aca="true" t="shared" si="45" ref="B338:B377">IF(Pay_Num_3&lt;&gt;"",DATE(YEAR(Loan_Start_3),MONTH(Loan_Start_3)+(Pay_Num_3)*12/Num_Pmt_Per_Year_3,DAY(Loan_Start_3)),"")</f>
        <v>52140</v>
      </c>
      <c r="C338" s="307">
        <f t="shared" si="43"/>
        <v>0</v>
      </c>
      <c r="D338" s="307">
        <f aca="true" t="shared" si="46" ref="D338:D377">IF(Pay_Num_3&lt;&gt;"",Scheduled_Monthly_Payment_3,"")</f>
        <v>68502.19681671372</v>
      </c>
      <c r="E338" s="308">
        <f aca="true" t="shared" si="47" ref="E338:E377">IF(AND(Pay_Num_3&lt;&gt;"",Sched_Pay_3+Scheduled_Extra_Payments_3&lt;Beg_Bal_3),Scheduled_Extra_Payments_3,IF(AND(Pay_Num_3&lt;&gt;"",Beg_Bal_3-Sched_Pay_3&gt;0),Beg_Bal_3-Sched_Pay_3,IF(Pay_Num_3&lt;&gt;"",0,"")))</f>
        <v>0</v>
      </c>
      <c r="F338" s="307">
        <f aca="true" t="shared" si="48" ref="F338:F377">IF(AND(Pay_Num_3&lt;&gt;"",Sched_Pay_3+Extra_Pay_3&lt;Beg_Bal_3),Sched_Pay_3+Extra_Pay_3,IF(Pay_Num_3&lt;&gt;"",Beg_Bal_3,""))</f>
        <v>0</v>
      </c>
      <c r="G338" s="307">
        <f aca="true" t="shared" si="49" ref="G338:G377">IF(Pay_Num_3&lt;&gt;"",Total_Pay_3-Int_3,"")</f>
        <v>0</v>
      </c>
      <c r="H338" s="307">
        <f t="shared" si="44"/>
        <v>0</v>
      </c>
      <c r="I338" s="307">
        <f aca="true" t="shared" si="50" ref="I338:I377">IF(AND(Pay_Num_3&lt;&gt;"",Sched_Pay_3+Extra_Pay_3&lt;Beg_Bal_3),Beg_Bal_3-Princ_3,IF(Pay_Num_3&lt;&gt;"",0,""))</f>
        <v>0</v>
      </c>
      <c r="J338" s="307">
        <f>SUM($H$18:$H338)</f>
        <v>7905767.225014114</v>
      </c>
    </row>
    <row r="339" spans="1:10" ht="12.75">
      <c r="A339" s="304">
        <f aca="true" t="shared" si="51" ref="A339:A377">IF(Values_Entered_3,A338+1,"")</f>
        <v>322</v>
      </c>
      <c r="B339" s="305">
        <f t="shared" si="45"/>
        <v>52171</v>
      </c>
      <c r="C339" s="307">
        <f aca="true" t="shared" si="52" ref="C339:C377">IF(Pay_Num_3&lt;&gt;"",I338,"")</f>
        <v>0</v>
      </c>
      <c r="D339" s="307">
        <f t="shared" si="46"/>
        <v>68502.19681671372</v>
      </c>
      <c r="E339" s="308">
        <f t="shared" si="47"/>
        <v>0</v>
      </c>
      <c r="F339" s="307">
        <f t="shared" si="48"/>
        <v>0</v>
      </c>
      <c r="G339" s="307">
        <f t="shared" si="49"/>
        <v>0</v>
      </c>
      <c r="H339" s="307">
        <f aca="true" t="shared" si="53" ref="H339:H377">IF(Pay_Num_3&lt;&gt;"",Beg_Bal_3*Interest_Rate_3/Num_Pmt_Per_Year_3,"")</f>
        <v>0</v>
      </c>
      <c r="I339" s="307">
        <f t="shared" si="50"/>
        <v>0</v>
      </c>
      <c r="J339" s="307">
        <f>SUM($H$18:$H339)</f>
        <v>7905767.225014114</v>
      </c>
    </row>
    <row r="340" spans="1:10" ht="12.75">
      <c r="A340" s="304">
        <f t="shared" si="51"/>
        <v>323</v>
      </c>
      <c r="B340" s="305">
        <f t="shared" si="45"/>
        <v>52201</v>
      </c>
      <c r="C340" s="307">
        <f t="shared" si="52"/>
        <v>0</v>
      </c>
      <c r="D340" s="307">
        <f t="shared" si="46"/>
        <v>68502.19681671372</v>
      </c>
      <c r="E340" s="308">
        <f t="shared" si="47"/>
        <v>0</v>
      </c>
      <c r="F340" s="307">
        <f t="shared" si="48"/>
        <v>0</v>
      </c>
      <c r="G340" s="307">
        <f t="shared" si="49"/>
        <v>0</v>
      </c>
      <c r="H340" s="307">
        <f t="shared" si="53"/>
        <v>0</v>
      </c>
      <c r="I340" s="307">
        <f t="shared" si="50"/>
        <v>0</v>
      </c>
      <c r="J340" s="307">
        <f>SUM($H$18:$H340)</f>
        <v>7905767.225014114</v>
      </c>
    </row>
    <row r="341" spans="1:10" ht="12.75">
      <c r="A341" s="304">
        <f t="shared" si="51"/>
        <v>324</v>
      </c>
      <c r="B341" s="305">
        <f t="shared" si="45"/>
        <v>52232</v>
      </c>
      <c r="C341" s="307">
        <f t="shared" si="52"/>
        <v>0</v>
      </c>
      <c r="D341" s="307">
        <f t="shared" si="46"/>
        <v>68502.19681671372</v>
      </c>
      <c r="E341" s="308">
        <f t="shared" si="47"/>
        <v>0</v>
      </c>
      <c r="F341" s="307">
        <f t="shared" si="48"/>
        <v>0</v>
      </c>
      <c r="G341" s="307">
        <f t="shared" si="49"/>
        <v>0</v>
      </c>
      <c r="H341" s="307">
        <f t="shared" si="53"/>
        <v>0</v>
      </c>
      <c r="I341" s="307">
        <f t="shared" si="50"/>
        <v>0</v>
      </c>
      <c r="J341" s="307">
        <f>SUM($H$18:$H341)</f>
        <v>7905767.225014114</v>
      </c>
    </row>
    <row r="342" spans="1:10" ht="12.75">
      <c r="A342" s="304">
        <f t="shared" si="51"/>
        <v>325</v>
      </c>
      <c r="B342" s="305">
        <f t="shared" si="45"/>
        <v>52263</v>
      </c>
      <c r="C342" s="307">
        <f t="shared" si="52"/>
        <v>0</v>
      </c>
      <c r="D342" s="307">
        <f t="shared" si="46"/>
        <v>68502.19681671372</v>
      </c>
      <c r="E342" s="308">
        <f t="shared" si="47"/>
        <v>0</v>
      </c>
      <c r="F342" s="307">
        <f t="shared" si="48"/>
        <v>0</v>
      </c>
      <c r="G342" s="307">
        <f t="shared" si="49"/>
        <v>0</v>
      </c>
      <c r="H342" s="307">
        <f t="shared" si="53"/>
        <v>0</v>
      </c>
      <c r="I342" s="307">
        <f t="shared" si="50"/>
        <v>0</v>
      </c>
      <c r="J342" s="307">
        <f>SUM($H$18:$H342)</f>
        <v>7905767.225014114</v>
      </c>
    </row>
    <row r="343" spans="1:10" ht="12.75">
      <c r="A343" s="304">
        <f t="shared" si="51"/>
        <v>326</v>
      </c>
      <c r="B343" s="305">
        <f t="shared" si="45"/>
        <v>52291</v>
      </c>
      <c r="C343" s="307">
        <f t="shared" si="52"/>
        <v>0</v>
      </c>
      <c r="D343" s="307">
        <f t="shared" si="46"/>
        <v>68502.19681671372</v>
      </c>
      <c r="E343" s="308">
        <f t="shared" si="47"/>
        <v>0</v>
      </c>
      <c r="F343" s="307">
        <f t="shared" si="48"/>
        <v>0</v>
      </c>
      <c r="G343" s="307">
        <f t="shared" si="49"/>
        <v>0</v>
      </c>
      <c r="H343" s="307">
        <f t="shared" si="53"/>
        <v>0</v>
      </c>
      <c r="I343" s="307">
        <f t="shared" si="50"/>
        <v>0</v>
      </c>
      <c r="J343" s="307">
        <f>SUM($H$18:$H343)</f>
        <v>7905767.225014114</v>
      </c>
    </row>
    <row r="344" spans="1:10" ht="12.75">
      <c r="A344" s="304">
        <f t="shared" si="51"/>
        <v>327</v>
      </c>
      <c r="B344" s="305">
        <f t="shared" si="45"/>
        <v>52322</v>
      </c>
      <c r="C344" s="307">
        <f t="shared" si="52"/>
        <v>0</v>
      </c>
      <c r="D344" s="307">
        <f t="shared" si="46"/>
        <v>68502.19681671372</v>
      </c>
      <c r="E344" s="308">
        <f t="shared" si="47"/>
        <v>0</v>
      </c>
      <c r="F344" s="307">
        <f t="shared" si="48"/>
        <v>0</v>
      </c>
      <c r="G344" s="307">
        <f t="shared" si="49"/>
        <v>0</v>
      </c>
      <c r="H344" s="307">
        <f t="shared" si="53"/>
        <v>0</v>
      </c>
      <c r="I344" s="307">
        <f t="shared" si="50"/>
        <v>0</v>
      </c>
      <c r="J344" s="307">
        <f>SUM($H$18:$H344)</f>
        <v>7905767.225014114</v>
      </c>
    </row>
    <row r="345" spans="1:10" ht="12.75">
      <c r="A345" s="304">
        <f t="shared" si="51"/>
        <v>328</v>
      </c>
      <c r="B345" s="305">
        <f t="shared" si="45"/>
        <v>52352</v>
      </c>
      <c r="C345" s="307">
        <f t="shared" si="52"/>
        <v>0</v>
      </c>
      <c r="D345" s="307">
        <f t="shared" si="46"/>
        <v>68502.19681671372</v>
      </c>
      <c r="E345" s="308">
        <f t="shared" si="47"/>
        <v>0</v>
      </c>
      <c r="F345" s="307">
        <f t="shared" si="48"/>
        <v>0</v>
      </c>
      <c r="G345" s="307">
        <f t="shared" si="49"/>
        <v>0</v>
      </c>
      <c r="H345" s="307">
        <f t="shared" si="53"/>
        <v>0</v>
      </c>
      <c r="I345" s="307">
        <f t="shared" si="50"/>
        <v>0</v>
      </c>
      <c r="J345" s="307">
        <f>SUM($H$18:$H345)</f>
        <v>7905767.225014114</v>
      </c>
    </row>
    <row r="346" spans="1:10" ht="12.75">
      <c r="A346" s="304">
        <f t="shared" si="51"/>
        <v>329</v>
      </c>
      <c r="B346" s="305">
        <f t="shared" si="45"/>
        <v>52383</v>
      </c>
      <c r="C346" s="307">
        <f t="shared" si="52"/>
        <v>0</v>
      </c>
      <c r="D346" s="307">
        <f t="shared" si="46"/>
        <v>68502.19681671372</v>
      </c>
      <c r="E346" s="308">
        <f t="shared" si="47"/>
        <v>0</v>
      </c>
      <c r="F346" s="307">
        <f t="shared" si="48"/>
        <v>0</v>
      </c>
      <c r="G346" s="307">
        <f t="shared" si="49"/>
        <v>0</v>
      </c>
      <c r="H346" s="307">
        <f t="shared" si="53"/>
        <v>0</v>
      </c>
      <c r="I346" s="307">
        <f t="shared" si="50"/>
        <v>0</v>
      </c>
      <c r="J346" s="307">
        <f>SUM($H$18:$H346)</f>
        <v>7905767.225014114</v>
      </c>
    </row>
    <row r="347" spans="1:10" ht="12.75">
      <c r="A347" s="304">
        <f t="shared" si="51"/>
        <v>330</v>
      </c>
      <c r="B347" s="305">
        <f t="shared" si="45"/>
        <v>52413</v>
      </c>
      <c r="C347" s="307">
        <f t="shared" si="52"/>
        <v>0</v>
      </c>
      <c r="D347" s="307">
        <f t="shared" si="46"/>
        <v>68502.19681671372</v>
      </c>
      <c r="E347" s="308">
        <f t="shared" si="47"/>
        <v>0</v>
      </c>
      <c r="F347" s="307">
        <f t="shared" si="48"/>
        <v>0</v>
      </c>
      <c r="G347" s="307">
        <f t="shared" si="49"/>
        <v>0</v>
      </c>
      <c r="H347" s="307">
        <f t="shared" si="53"/>
        <v>0</v>
      </c>
      <c r="I347" s="307">
        <f t="shared" si="50"/>
        <v>0</v>
      </c>
      <c r="J347" s="307">
        <f>SUM($H$18:$H347)</f>
        <v>7905767.225014114</v>
      </c>
    </row>
    <row r="348" spans="1:10" ht="12.75">
      <c r="A348" s="304">
        <f t="shared" si="51"/>
        <v>331</v>
      </c>
      <c r="B348" s="305">
        <f t="shared" si="45"/>
        <v>52444</v>
      </c>
      <c r="C348" s="307">
        <f t="shared" si="52"/>
        <v>0</v>
      </c>
      <c r="D348" s="307">
        <f t="shared" si="46"/>
        <v>68502.19681671372</v>
      </c>
      <c r="E348" s="308">
        <f t="shared" si="47"/>
        <v>0</v>
      </c>
      <c r="F348" s="307">
        <f t="shared" si="48"/>
        <v>0</v>
      </c>
      <c r="G348" s="307">
        <f t="shared" si="49"/>
        <v>0</v>
      </c>
      <c r="H348" s="307">
        <f t="shared" si="53"/>
        <v>0</v>
      </c>
      <c r="I348" s="307">
        <f t="shared" si="50"/>
        <v>0</v>
      </c>
      <c r="J348" s="307">
        <f>SUM($H$18:$H348)</f>
        <v>7905767.225014114</v>
      </c>
    </row>
    <row r="349" spans="1:10" ht="12.75">
      <c r="A349" s="304">
        <f t="shared" si="51"/>
        <v>332</v>
      </c>
      <c r="B349" s="305">
        <f t="shared" si="45"/>
        <v>52475</v>
      </c>
      <c r="C349" s="307">
        <f t="shared" si="52"/>
        <v>0</v>
      </c>
      <c r="D349" s="307">
        <f t="shared" si="46"/>
        <v>68502.19681671372</v>
      </c>
      <c r="E349" s="308">
        <f t="shared" si="47"/>
        <v>0</v>
      </c>
      <c r="F349" s="307">
        <f t="shared" si="48"/>
        <v>0</v>
      </c>
      <c r="G349" s="307">
        <f t="shared" si="49"/>
        <v>0</v>
      </c>
      <c r="H349" s="307">
        <f t="shared" si="53"/>
        <v>0</v>
      </c>
      <c r="I349" s="307">
        <f t="shared" si="50"/>
        <v>0</v>
      </c>
      <c r="J349" s="307">
        <f>SUM($H$18:$H349)</f>
        <v>7905767.225014114</v>
      </c>
    </row>
    <row r="350" spans="1:10" ht="12.75">
      <c r="A350" s="304">
        <f t="shared" si="51"/>
        <v>333</v>
      </c>
      <c r="B350" s="305">
        <f t="shared" si="45"/>
        <v>52505</v>
      </c>
      <c r="C350" s="307">
        <f t="shared" si="52"/>
        <v>0</v>
      </c>
      <c r="D350" s="307">
        <f t="shared" si="46"/>
        <v>68502.19681671372</v>
      </c>
      <c r="E350" s="308">
        <f t="shared" si="47"/>
        <v>0</v>
      </c>
      <c r="F350" s="307">
        <f t="shared" si="48"/>
        <v>0</v>
      </c>
      <c r="G350" s="307">
        <f t="shared" si="49"/>
        <v>0</v>
      </c>
      <c r="H350" s="307">
        <f t="shared" si="53"/>
        <v>0</v>
      </c>
      <c r="I350" s="307">
        <f t="shared" si="50"/>
        <v>0</v>
      </c>
      <c r="J350" s="307">
        <f>SUM($H$18:$H350)</f>
        <v>7905767.225014114</v>
      </c>
    </row>
    <row r="351" spans="1:10" ht="12.75">
      <c r="A351" s="304">
        <f t="shared" si="51"/>
        <v>334</v>
      </c>
      <c r="B351" s="305">
        <f t="shared" si="45"/>
        <v>52536</v>
      </c>
      <c r="C351" s="307">
        <f t="shared" si="52"/>
        <v>0</v>
      </c>
      <c r="D351" s="307">
        <f t="shared" si="46"/>
        <v>68502.19681671372</v>
      </c>
      <c r="E351" s="308">
        <f t="shared" si="47"/>
        <v>0</v>
      </c>
      <c r="F351" s="307">
        <f t="shared" si="48"/>
        <v>0</v>
      </c>
      <c r="G351" s="307">
        <f t="shared" si="49"/>
        <v>0</v>
      </c>
      <c r="H351" s="307">
        <f t="shared" si="53"/>
        <v>0</v>
      </c>
      <c r="I351" s="307">
        <f t="shared" si="50"/>
        <v>0</v>
      </c>
      <c r="J351" s="307">
        <f>SUM($H$18:$H351)</f>
        <v>7905767.225014114</v>
      </c>
    </row>
    <row r="352" spans="1:10" ht="12.75">
      <c r="A352" s="304">
        <f t="shared" si="51"/>
        <v>335</v>
      </c>
      <c r="B352" s="305">
        <f t="shared" si="45"/>
        <v>52566</v>
      </c>
      <c r="C352" s="307">
        <f t="shared" si="52"/>
        <v>0</v>
      </c>
      <c r="D352" s="307">
        <f t="shared" si="46"/>
        <v>68502.19681671372</v>
      </c>
      <c r="E352" s="308">
        <f t="shared" si="47"/>
        <v>0</v>
      </c>
      <c r="F352" s="307">
        <f t="shared" si="48"/>
        <v>0</v>
      </c>
      <c r="G352" s="307">
        <f t="shared" si="49"/>
        <v>0</v>
      </c>
      <c r="H352" s="307">
        <f t="shared" si="53"/>
        <v>0</v>
      </c>
      <c r="I352" s="307">
        <f t="shared" si="50"/>
        <v>0</v>
      </c>
      <c r="J352" s="307">
        <f>SUM($H$18:$H352)</f>
        <v>7905767.225014114</v>
      </c>
    </row>
    <row r="353" spans="1:10" ht="12.75">
      <c r="A353" s="304">
        <f t="shared" si="51"/>
        <v>336</v>
      </c>
      <c r="B353" s="305">
        <f t="shared" si="45"/>
        <v>52597</v>
      </c>
      <c r="C353" s="307">
        <f t="shared" si="52"/>
        <v>0</v>
      </c>
      <c r="D353" s="307">
        <f t="shared" si="46"/>
        <v>68502.19681671372</v>
      </c>
      <c r="E353" s="308">
        <f t="shared" si="47"/>
        <v>0</v>
      </c>
      <c r="F353" s="307">
        <f t="shared" si="48"/>
        <v>0</v>
      </c>
      <c r="G353" s="307">
        <f t="shared" si="49"/>
        <v>0</v>
      </c>
      <c r="H353" s="307">
        <f t="shared" si="53"/>
        <v>0</v>
      </c>
      <c r="I353" s="307">
        <f t="shared" si="50"/>
        <v>0</v>
      </c>
      <c r="J353" s="307">
        <f>SUM($H$18:$H353)</f>
        <v>7905767.225014114</v>
      </c>
    </row>
    <row r="354" spans="1:10" ht="12.75">
      <c r="A354" s="304">
        <f t="shared" si="51"/>
        <v>337</v>
      </c>
      <c r="B354" s="305">
        <f t="shared" si="45"/>
        <v>52628</v>
      </c>
      <c r="C354" s="307">
        <f t="shared" si="52"/>
        <v>0</v>
      </c>
      <c r="D354" s="307">
        <f t="shared" si="46"/>
        <v>68502.19681671372</v>
      </c>
      <c r="E354" s="308">
        <f t="shared" si="47"/>
        <v>0</v>
      </c>
      <c r="F354" s="307">
        <f t="shared" si="48"/>
        <v>0</v>
      </c>
      <c r="G354" s="307">
        <f t="shared" si="49"/>
        <v>0</v>
      </c>
      <c r="H354" s="307">
        <f t="shared" si="53"/>
        <v>0</v>
      </c>
      <c r="I354" s="307">
        <f t="shared" si="50"/>
        <v>0</v>
      </c>
      <c r="J354" s="307">
        <f>SUM($H$18:$H354)</f>
        <v>7905767.225014114</v>
      </c>
    </row>
    <row r="355" spans="1:10" ht="12.75">
      <c r="A355" s="304">
        <f t="shared" si="51"/>
        <v>338</v>
      </c>
      <c r="B355" s="305">
        <f t="shared" si="45"/>
        <v>52657</v>
      </c>
      <c r="C355" s="307">
        <f t="shared" si="52"/>
        <v>0</v>
      </c>
      <c r="D355" s="307">
        <f t="shared" si="46"/>
        <v>68502.19681671372</v>
      </c>
      <c r="E355" s="308">
        <f t="shared" si="47"/>
        <v>0</v>
      </c>
      <c r="F355" s="307">
        <f t="shared" si="48"/>
        <v>0</v>
      </c>
      <c r="G355" s="307">
        <f t="shared" si="49"/>
        <v>0</v>
      </c>
      <c r="H355" s="307">
        <f t="shared" si="53"/>
        <v>0</v>
      </c>
      <c r="I355" s="307">
        <f t="shared" si="50"/>
        <v>0</v>
      </c>
      <c r="J355" s="307">
        <f>SUM($H$18:$H355)</f>
        <v>7905767.225014114</v>
      </c>
    </row>
    <row r="356" spans="1:10" ht="12.75">
      <c r="A356" s="304">
        <f t="shared" si="51"/>
        <v>339</v>
      </c>
      <c r="B356" s="305">
        <f t="shared" si="45"/>
        <v>52688</v>
      </c>
      <c r="C356" s="307">
        <f t="shared" si="52"/>
        <v>0</v>
      </c>
      <c r="D356" s="307">
        <f t="shared" si="46"/>
        <v>68502.19681671372</v>
      </c>
      <c r="E356" s="308">
        <f t="shared" si="47"/>
        <v>0</v>
      </c>
      <c r="F356" s="307">
        <f t="shared" si="48"/>
        <v>0</v>
      </c>
      <c r="G356" s="307">
        <f t="shared" si="49"/>
        <v>0</v>
      </c>
      <c r="H356" s="307">
        <f t="shared" si="53"/>
        <v>0</v>
      </c>
      <c r="I356" s="307">
        <f t="shared" si="50"/>
        <v>0</v>
      </c>
      <c r="J356" s="307">
        <f>SUM($H$18:$H356)</f>
        <v>7905767.225014114</v>
      </c>
    </row>
    <row r="357" spans="1:10" ht="12.75">
      <c r="A357" s="304">
        <f t="shared" si="51"/>
        <v>340</v>
      </c>
      <c r="B357" s="305">
        <f t="shared" si="45"/>
        <v>52718</v>
      </c>
      <c r="C357" s="307">
        <f t="shared" si="52"/>
        <v>0</v>
      </c>
      <c r="D357" s="307">
        <f t="shared" si="46"/>
        <v>68502.19681671372</v>
      </c>
      <c r="E357" s="308">
        <f t="shared" si="47"/>
        <v>0</v>
      </c>
      <c r="F357" s="307">
        <f t="shared" si="48"/>
        <v>0</v>
      </c>
      <c r="G357" s="307">
        <f t="shared" si="49"/>
        <v>0</v>
      </c>
      <c r="H357" s="307">
        <f t="shared" si="53"/>
        <v>0</v>
      </c>
      <c r="I357" s="307">
        <f t="shared" si="50"/>
        <v>0</v>
      </c>
      <c r="J357" s="307">
        <f>SUM($H$18:$H357)</f>
        <v>7905767.225014114</v>
      </c>
    </row>
    <row r="358" spans="1:10" ht="12.75">
      <c r="A358" s="304">
        <f t="shared" si="51"/>
        <v>341</v>
      </c>
      <c r="B358" s="305">
        <f t="shared" si="45"/>
        <v>52749</v>
      </c>
      <c r="C358" s="307">
        <f t="shared" si="52"/>
        <v>0</v>
      </c>
      <c r="D358" s="307">
        <f t="shared" si="46"/>
        <v>68502.19681671372</v>
      </c>
      <c r="E358" s="308">
        <f t="shared" si="47"/>
        <v>0</v>
      </c>
      <c r="F358" s="307">
        <f t="shared" si="48"/>
        <v>0</v>
      </c>
      <c r="G358" s="307">
        <f t="shared" si="49"/>
        <v>0</v>
      </c>
      <c r="H358" s="307">
        <f t="shared" si="53"/>
        <v>0</v>
      </c>
      <c r="I358" s="307">
        <f t="shared" si="50"/>
        <v>0</v>
      </c>
      <c r="J358" s="307">
        <f>SUM($H$18:$H358)</f>
        <v>7905767.225014114</v>
      </c>
    </row>
    <row r="359" spans="1:10" ht="12.75">
      <c r="A359" s="304">
        <f t="shared" si="51"/>
        <v>342</v>
      </c>
      <c r="B359" s="305">
        <f t="shared" si="45"/>
        <v>52779</v>
      </c>
      <c r="C359" s="307">
        <f t="shared" si="52"/>
        <v>0</v>
      </c>
      <c r="D359" s="307">
        <f t="shared" si="46"/>
        <v>68502.19681671372</v>
      </c>
      <c r="E359" s="308">
        <f t="shared" si="47"/>
        <v>0</v>
      </c>
      <c r="F359" s="307">
        <f t="shared" si="48"/>
        <v>0</v>
      </c>
      <c r="G359" s="307">
        <f t="shared" si="49"/>
        <v>0</v>
      </c>
      <c r="H359" s="307">
        <f t="shared" si="53"/>
        <v>0</v>
      </c>
      <c r="I359" s="307">
        <f t="shared" si="50"/>
        <v>0</v>
      </c>
      <c r="J359" s="307">
        <f>SUM($H$18:$H359)</f>
        <v>7905767.225014114</v>
      </c>
    </row>
    <row r="360" spans="1:10" ht="12.75">
      <c r="A360" s="304">
        <f t="shared" si="51"/>
        <v>343</v>
      </c>
      <c r="B360" s="305">
        <f t="shared" si="45"/>
        <v>52810</v>
      </c>
      <c r="C360" s="307">
        <f t="shared" si="52"/>
        <v>0</v>
      </c>
      <c r="D360" s="307">
        <f t="shared" si="46"/>
        <v>68502.19681671372</v>
      </c>
      <c r="E360" s="308">
        <f t="shared" si="47"/>
        <v>0</v>
      </c>
      <c r="F360" s="307">
        <f t="shared" si="48"/>
        <v>0</v>
      </c>
      <c r="G360" s="307">
        <f t="shared" si="49"/>
        <v>0</v>
      </c>
      <c r="H360" s="307">
        <f t="shared" si="53"/>
        <v>0</v>
      </c>
      <c r="I360" s="307">
        <f t="shared" si="50"/>
        <v>0</v>
      </c>
      <c r="J360" s="307">
        <f>SUM($H$18:$H360)</f>
        <v>7905767.225014114</v>
      </c>
    </row>
    <row r="361" spans="1:10" ht="12.75">
      <c r="A361" s="304">
        <f t="shared" si="51"/>
        <v>344</v>
      </c>
      <c r="B361" s="305">
        <f t="shared" si="45"/>
        <v>52841</v>
      </c>
      <c r="C361" s="307">
        <f t="shared" si="52"/>
        <v>0</v>
      </c>
      <c r="D361" s="307">
        <f t="shared" si="46"/>
        <v>68502.19681671372</v>
      </c>
      <c r="E361" s="308">
        <f t="shared" si="47"/>
        <v>0</v>
      </c>
      <c r="F361" s="307">
        <f t="shared" si="48"/>
        <v>0</v>
      </c>
      <c r="G361" s="307">
        <f t="shared" si="49"/>
        <v>0</v>
      </c>
      <c r="H361" s="307">
        <f t="shared" si="53"/>
        <v>0</v>
      </c>
      <c r="I361" s="307">
        <f t="shared" si="50"/>
        <v>0</v>
      </c>
      <c r="J361" s="307">
        <f>SUM($H$18:$H361)</f>
        <v>7905767.225014114</v>
      </c>
    </row>
    <row r="362" spans="1:10" ht="12.75">
      <c r="A362" s="304">
        <f t="shared" si="51"/>
        <v>345</v>
      </c>
      <c r="B362" s="305">
        <f t="shared" si="45"/>
        <v>52871</v>
      </c>
      <c r="C362" s="307">
        <f t="shared" si="52"/>
        <v>0</v>
      </c>
      <c r="D362" s="307">
        <f t="shared" si="46"/>
        <v>68502.19681671372</v>
      </c>
      <c r="E362" s="308">
        <f t="shared" si="47"/>
        <v>0</v>
      </c>
      <c r="F362" s="307">
        <f t="shared" si="48"/>
        <v>0</v>
      </c>
      <c r="G362" s="307">
        <f t="shared" si="49"/>
        <v>0</v>
      </c>
      <c r="H362" s="307">
        <f t="shared" si="53"/>
        <v>0</v>
      </c>
      <c r="I362" s="307">
        <f t="shared" si="50"/>
        <v>0</v>
      </c>
      <c r="J362" s="307">
        <f>SUM($H$18:$H362)</f>
        <v>7905767.225014114</v>
      </c>
    </row>
    <row r="363" spans="1:10" ht="12.75">
      <c r="A363" s="304">
        <f t="shared" si="51"/>
        <v>346</v>
      </c>
      <c r="B363" s="305">
        <f t="shared" si="45"/>
        <v>52902</v>
      </c>
      <c r="C363" s="307">
        <f t="shared" si="52"/>
        <v>0</v>
      </c>
      <c r="D363" s="307">
        <f t="shared" si="46"/>
        <v>68502.19681671372</v>
      </c>
      <c r="E363" s="308">
        <f t="shared" si="47"/>
        <v>0</v>
      </c>
      <c r="F363" s="307">
        <f t="shared" si="48"/>
        <v>0</v>
      </c>
      <c r="G363" s="307">
        <f t="shared" si="49"/>
        <v>0</v>
      </c>
      <c r="H363" s="307">
        <f t="shared" si="53"/>
        <v>0</v>
      </c>
      <c r="I363" s="307">
        <f t="shared" si="50"/>
        <v>0</v>
      </c>
      <c r="J363" s="307">
        <f>SUM($H$18:$H363)</f>
        <v>7905767.225014114</v>
      </c>
    </row>
    <row r="364" spans="1:10" ht="12.75">
      <c r="A364" s="304">
        <f t="shared" si="51"/>
        <v>347</v>
      </c>
      <c r="B364" s="305">
        <f t="shared" si="45"/>
        <v>52932</v>
      </c>
      <c r="C364" s="307">
        <f t="shared" si="52"/>
        <v>0</v>
      </c>
      <c r="D364" s="307">
        <f t="shared" si="46"/>
        <v>68502.19681671372</v>
      </c>
      <c r="E364" s="308">
        <f t="shared" si="47"/>
        <v>0</v>
      </c>
      <c r="F364" s="307">
        <f t="shared" si="48"/>
        <v>0</v>
      </c>
      <c r="G364" s="307">
        <f t="shared" si="49"/>
        <v>0</v>
      </c>
      <c r="H364" s="307">
        <f t="shared" si="53"/>
        <v>0</v>
      </c>
      <c r="I364" s="307">
        <f t="shared" si="50"/>
        <v>0</v>
      </c>
      <c r="J364" s="307">
        <f>SUM($H$18:$H364)</f>
        <v>7905767.225014114</v>
      </c>
    </row>
    <row r="365" spans="1:10" ht="12.75">
      <c r="A365" s="304">
        <f t="shared" si="51"/>
        <v>348</v>
      </c>
      <c r="B365" s="305">
        <f t="shared" si="45"/>
        <v>52963</v>
      </c>
      <c r="C365" s="307">
        <f t="shared" si="52"/>
        <v>0</v>
      </c>
      <c r="D365" s="307">
        <f t="shared" si="46"/>
        <v>68502.19681671372</v>
      </c>
      <c r="E365" s="308">
        <f t="shared" si="47"/>
        <v>0</v>
      </c>
      <c r="F365" s="307">
        <f t="shared" si="48"/>
        <v>0</v>
      </c>
      <c r="G365" s="307">
        <f t="shared" si="49"/>
        <v>0</v>
      </c>
      <c r="H365" s="307">
        <f t="shared" si="53"/>
        <v>0</v>
      </c>
      <c r="I365" s="307">
        <f t="shared" si="50"/>
        <v>0</v>
      </c>
      <c r="J365" s="307">
        <f>SUM($H$18:$H365)</f>
        <v>7905767.225014114</v>
      </c>
    </row>
    <row r="366" spans="1:10" ht="12.75">
      <c r="A366" s="304">
        <f t="shared" si="51"/>
        <v>349</v>
      </c>
      <c r="B366" s="305">
        <f t="shared" si="45"/>
        <v>52994</v>
      </c>
      <c r="C366" s="307">
        <f t="shared" si="52"/>
        <v>0</v>
      </c>
      <c r="D366" s="307">
        <f t="shared" si="46"/>
        <v>68502.19681671372</v>
      </c>
      <c r="E366" s="308">
        <f t="shared" si="47"/>
        <v>0</v>
      </c>
      <c r="F366" s="307">
        <f t="shared" si="48"/>
        <v>0</v>
      </c>
      <c r="G366" s="307">
        <f t="shared" si="49"/>
        <v>0</v>
      </c>
      <c r="H366" s="307">
        <f t="shared" si="53"/>
        <v>0</v>
      </c>
      <c r="I366" s="307">
        <f t="shared" si="50"/>
        <v>0</v>
      </c>
      <c r="J366" s="307">
        <f>SUM($H$18:$H366)</f>
        <v>7905767.225014114</v>
      </c>
    </row>
    <row r="367" spans="1:10" ht="12.75">
      <c r="A367" s="304">
        <f t="shared" si="51"/>
        <v>350</v>
      </c>
      <c r="B367" s="305">
        <f t="shared" si="45"/>
        <v>53022</v>
      </c>
      <c r="C367" s="307">
        <f t="shared" si="52"/>
        <v>0</v>
      </c>
      <c r="D367" s="307">
        <f t="shared" si="46"/>
        <v>68502.19681671372</v>
      </c>
      <c r="E367" s="308">
        <f t="shared" si="47"/>
        <v>0</v>
      </c>
      <c r="F367" s="307">
        <f t="shared" si="48"/>
        <v>0</v>
      </c>
      <c r="G367" s="307">
        <f t="shared" si="49"/>
        <v>0</v>
      </c>
      <c r="H367" s="307">
        <f t="shared" si="53"/>
        <v>0</v>
      </c>
      <c r="I367" s="307">
        <f t="shared" si="50"/>
        <v>0</v>
      </c>
      <c r="J367" s="307">
        <f>SUM($H$18:$H367)</f>
        <v>7905767.225014114</v>
      </c>
    </row>
    <row r="368" spans="1:10" ht="12.75">
      <c r="A368" s="304">
        <f t="shared" si="51"/>
        <v>351</v>
      </c>
      <c r="B368" s="305">
        <f t="shared" si="45"/>
        <v>53053</v>
      </c>
      <c r="C368" s="307">
        <f t="shared" si="52"/>
        <v>0</v>
      </c>
      <c r="D368" s="307">
        <f t="shared" si="46"/>
        <v>68502.19681671372</v>
      </c>
      <c r="E368" s="308">
        <f t="shared" si="47"/>
        <v>0</v>
      </c>
      <c r="F368" s="307">
        <f t="shared" si="48"/>
        <v>0</v>
      </c>
      <c r="G368" s="307">
        <f t="shared" si="49"/>
        <v>0</v>
      </c>
      <c r="H368" s="307">
        <f t="shared" si="53"/>
        <v>0</v>
      </c>
      <c r="I368" s="307">
        <f t="shared" si="50"/>
        <v>0</v>
      </c>
      <c r="J368" s="307">
        <f>SUM($H$18:$H368)</f>
        <v>7905767.225014114</v>
      </c>
    </row>
    <row r="369" spans="1:10" ht="12.75">
      <c r="A369" s="304">
        <f t="shared" si="51"/>
        <v>352</v>
      </c>
      <c r="B369" s="305">
        <f t="shared" si="45"/>
        <v>53083</v>
      </c>
      <c r="C369" s="307">
        <f t="shared" si="52"/>
        <v>0</v>
      </c>
      <c r="D369" s="307">
        <f t="shared" si="46"/>
        <v>68502.19681671372</v>
      </c>
      <c r="E369" s="308">
        <f t="shared" si="47"/>
        <v>0</v>
      </c>
      <c r="F369" s="307">
        <f t="shared" si="48"/>
        <v>0</v>
      </c>
      <c r="G369" s="307">
        <f t="shared" si="49"/>
        <v>0</v>
      </c>
      <c r="H369" s="307">
        <f t="shared" si="53"/>
        <v>0</v>
      </c>
      <c r="I369" s="307">
        <f t="shared" si="50"/>
        <v>0</v>
      </c>
      <c r="J369" s="307">
        <f>SUM($H$18:$H369)</f>
        <v>7905767.225014114</v>
      </c>
    </row>
    <row r="370" spans="1:10" ht="12.75">
      <c r="A370" s="304">
        <f t="shared" si="51"/>
        <v>353</v>
      </c>
      <c r="B370" s="305">
        <f t="shared" si="45"/>
        <v>53114</v>
      </c>
      <c r="C370" s="307">
        <f t="shared" si="52"/>
        <v>0</v>
      </c>
      <c r="D370" s="307">
        <f t="shared" si="46"/>
        <v>68502.19681671372</v>
      </c>
      <c r="E370" s="308">
        <f t="shared" si="47"/>
        <v>0</v>
      </c>
      <c r="F370" s="307">
        <f t="shared" si="48"/>
        <v>0</v>
      </c>
      <c r="G370" s="307">
        <f t="shared" si="49"/>
        <v>0</v>
      </c>
      <c r="H370" s="307">
        <f t="shared" si="53"/>
        <v>0</v>
      </c>
      <c r="I370" s="307">
        <f t="shared" si="50"/>
        <v>0</v>
      </c>
      <c r="J370" s="307">
        <f>SUM($H$18:$H370)</f>
        <v>7905767.225014114</v>
      </c>
    </row>
    <row r="371" spans="1:10" ht="12.75">
      <c r="A371" s="304">
        <f t="shared" si="51"/>
        <v>354</v>
      </c>
      <c r="B371" s="305">
        <f t="shared" si="45"/>
        <v>53144</v>
      </c>
      <c r="C371" s="307">
        <f t="shared" si="52"/>
        <v>0</v>
      </c>
      <c r="D371" s="307">
        <f t="shared" si="46"/>
        <v>68502.19681671372</v>
      </c>
      <c r="E371" s="308">
        <f t="shared" si="47"/>
        <v>0</v>
      </c>
      <c r="F371" s="307">
        <f t="shared" si="48"/>
        <v>0</v>
      </c>
      <c r="G371" s="307">
        <f t="shared" si="49"/>
        <v>0</v>
      </c>
      <c r="H371" s="307">
        <f t="shared" si="53"/>
        <v>0</v>
      </c>
      <c r="I371" s="307">
        <f t="shared" si="50"/>
        <v>0</v>
      </c>
      <c r="J371" s="307">
        <f>SUM($H$18:$H371)</f>
        <v>7905767.225014114</v>
      </c>
    </row>
    <row r="372" spans="1:10" ht="12.75">
      <c r="A372" s="304">
        <f t="shared" si="51"/>
        <v>355</v>
      </c>
      <c r="B372" s="305">
        <f t="shared" si="45"/>
        <v>53175</v>
      </c>
      <c r="C372" s="307">
        <f t="shared" si="52"/>
        <v>0</v>
      </c>
      <c r="D372" s="307">
        <f t="shared" si="46"/>
        <v>68502.19681671372</v>
      </c>
      <c r="E372" s="308">
        <f t="shared" si="47"/>
        <v>0</v>
      </c>
      <c r="F372" s="307">
        <f t="shared" si="48"/>
        <v>0</v>
      </c>
      <c r="G372" s="307">
        <f t="shared" si="49"/>
        <v>0</v>
      </c>
      <c r="H372" s="307">
        <f t="shared" si="53"/>
        <v>0</v>
      </c>
      <c r="I372" s="307">
        <f t="shared" si="50"/>
        <v>0</v>
      </c>
      <c r="J372" s="307">
        <f>SUM($H$18:$H372)</f>
        <v>7905767.225014114</v>
      </c>
    </row>
    <row r="373" spans="1:10" ht="12.75">
      <c r="A373" s="304">
        <f t="shared" si="51"/>
        <v>356</v>
      </c>
      <c r="B373" s="305">
        <f t="shared" si="45"/>
        <v>53206</v>
      </c>
      <c r="C373" s="307">
        <f t="shared" si="52"/>
        <v>0</v>
      </c>
      <c r="D373" s="307">
        <f t="shared" si="46"/>
        <v>68502.19681671372</v>
      </c>
      <c r="E373" s="308">
        <f t="shared" si="47"/>
        <v>0</v>
      </c>
      <c r="F373" s="307">
        <f t="shared" si="48"/>
        <v>0</v>
      </c>
      <c r="G373" s="307">
        <f t="shared" si="49"/>
        <v>0</v>
      </c>
      <c r="H373" s="307">
        <f t="shared" si="53"/>
        <v>0</v>
      </c>
      <c r="I373" s="307">
        <f t="shared" si="50"/>
        <v>0</v>
      </c>
      <c r="J373" s="307">
        <f>SUM($H$18:$H373)</f>
        <v>7905767.225014114</v>
      </c>
    </row>
    <row r="374" spans="1:10" ht="12.75">
      <c r="A374" s="304">
        <f t="shared" si="51"/>
        <v>357</v>
      </c>
      <c r="B374" s="305">
        <f t="shared" si="45"/>
        <v>53236</v>
      </c>
      <c r="C374" s="307">
        <f t="shared" si="52"/>
        <v>0</v>
      </c>
      <c r="D374" s="307">
        <f t="shared" si="46"/>
        <v>68502.19681671372</v>
      </c>
      <c r="E374" s="308">
        <f t="shared" si="47"/>
        <v>0</v>
      </c>
      <c r="F374" s="307">
        <f t="shared" si="48"/>
        <v>0</v>
      </c>
      <c r="G374" s="307">
        <f t="shared" si="49"/>
        <v>0</v>
      </c>
      <c r="H374" s="307">
        <f t="shared" si="53"/>
        <v>0</v>
      </c>
      <c r="I374" s="307">
        <f t="shared" si="50"/>
        <v>0</v>
      </c>
      <c r="J374" s="307">
        <f>SUM($H$18:$H374)</f>
        <v>7905767.225014114</v>
      </c>
    </row>
    <row r="375" spans="1:10" ht="12.75">
      <c r="A375" s="304">
        <f t="shared" si="51"/>
        <v>358</v>
      </c>
      <c r="B375" s="305">
        <f t="shared" si="45"/>
        <v>53267</v>
      </c>
      <c r="C375" s="307">
        <f t="shared" si="52"/>
        <v>0</v>
      </c>
      <c r="D375" s="307">
        <f t="shared" si="46"/>
        <v>68502.19681671372</v>
      </c>
      <c r="E375" s="308">
        <f t="shared" si="47"/>
        <v>0</v>
      </c>
      <c r="F375" s="307">
        <f t="shared" si="48"/>
        <v>0</v>
      </c>
      <c r="G375" s="307">
        <f t="shared" si="49"/>
        <v>0</v>
      </c>
      <c r="H375" s="307">
        <f t="shared" si="53"/>
        <v>0</v>
      </c>
      <c r="I375" s="307">
        <f t="shared" si="50"/>
        <v>0</v>
      </c>
      <c r="J375" s="307">
        <f>SUM($H$18:$H375)</f>
        <v>7905767.225014114</v>
      </c>
    </row>
    <row r="376" spans="1:10" ht="12.75">
      <c r="A376" s="304">
        <f t="shared" si="51"/>
        <v>359</v>
      </c>
      <c r="B376" s="305">
        <f t="shared" si="45"/>
        <v>53297</v>
      </c>
      <c r="C376" s="307">
        <f t="shared" si="52"/>
        <v>0</v>
      </c>
      <c r="D376" s="307">
        <f t="shared" si="46"/>
        <v>68502.19681671372</v>
      </c>
      <c r="E376" s="308">
        <f t="shared" si="47"/>
        <v>0</v>
      </c>
      <c r="F376" s="307">
        <f t="shared" si="48"/>
        <v>0</v>
      </c>
      <c r="G376" s="307">
        <f t="shared" si="49"/>
        <v>0</v>
      </c>
      <c r="H376" s="307">
        <f t="shared" si="53"/>
        <v>0</v>
      </c>
      <c r="I376" s="307">
        <f t="shared" si="50"/>
        <v>0</v>
      </c>
      <c r="J376" s="307">
        <f>SUM($H$18:$H376)</f>
        <v>7905767.225014114</v>
      </c>
    </row>
    <row r="377" spans="1:10" ht="12.75">
      <c r="A377" s="304">
        <f t="shared" si="51"/>
        <v>360</v>
      </c>
      <c r="B377" s="305">
        <f t="shared" si="45"/>
        <v>53328</v>
      </c>
      <c r="C377" s="307">
        <f t="shared" si="52"/>
        <v>0</v>
      </c>
      <c r="D377" s="307">
        <f t="shared" si="46"/>
        <v>68502.19681671372</v>
      </c>
      <c r="E377" s="308">
        <f t="shared" si="47"/>
        <v>0</v>
      </c>
      <c r="F377" s="307">
        <f t="shared" si="48"/>
        <v>0</v>
      </c>
      <c r="G377" s="307">
        <f t="shared" si="49"/>
        <v>0</v>
      </c>
      <c r="H377" s="307">
        <f t="shared" si="53"/>
        <v>0</v>
      </c>
      <c r="I377" s="307">
        <f t="shared" si="50"/>
        <v>0</v>
      </c>
      <c r="J377" s="307">
        <f>SUM($H$18:$H377)</f>
        <v>7905767.225014114</v>
      </c>
    </row>
  </sheetData>
  <sheetProtection selectLockedCells="1" selectUnlockedCells="1"/>
  <mergeCells count="4">
    <mergeCell ref="A1:D1"/>
    <mergeCell ref="B4:D4"/>
    <mergeCell ref="F4:H4"/>
    <mergeCell ref="C12:D12"/>
  </mergeCells>
  <dataValidations count="3">
    <dataValidation type="whole" allowBlank="1" showErrorMessage="1" errorTitle="Years" error="Please enter a whole number of years from 1 to 30." sqref="D7">
      <formula1>1</formula1>
      <formula2>30</formula2>
    </dataValidation>
    <dataValidation type="date" operator="greaterThanOrEqual" allowBlank="1" showErrorMessage="1" errorTitle="Date" error="Please enter a valid date greater than or equal to January 1, 1900." sqref="D8:D9">
      <formula1>1</formula1>
    </dataValidation>
    <dataValidation allowBlank="1" showInputMessage="1" showErrorMessage="1" promptTitle="Extra Payments" prompt="Enter an amount here if you want to make additional principal payments every pay period.&#10;&#10;For occasional extra payments, enter the extra principal amounts directly in the 'Extra Payment' column below." sqref="D10">
      <formula1>0</formula1>
      <formula2>0</formula2>
    </dataValidation>
  </dataValidations>
  <printOptions horizontalCentered="1"/>
  <pageMargins left="0.7479166666666667" right="0.5" top="0.5" bottom="0.5" header="0.5118055555555555" footer="0.5118055555555555"/>
  <pageSetup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Microsoft Office User</cp:lastModifiedBy>
  <cp:lastPrinted>2016-01-22T01:30:13Z</cp:lastPrinted>
  <dcterms:created xsi:type="dcterms:W3CDTF">2013-10-29T20:49:43Z</dcterms:created>
  <dcterms:modified xsi:type="dcterms:W3CDTF">2016-03-09T18:19:02Z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