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860" yWindow="460" windowWidth="15480" windowHeight="8200" tabRatio="507" activeTab="0"/>
  </bookViews>
  <sheets>
    <sheet name="Proforma 2" sheetId="1" r:id="rId1"/>
    <sheet name="Soft Costs 2" sheetId="2" r:id="rId2"/>
    <sheet name="Loan Amortization Schedule _2_" sheetId="3" r:id="rId3"/>
  </sheets>
  <definedNames>
    <definedName name="Beg_Bal_3">'Loan Amortization Schedule _2_'!$C$18:$C$377</definedName>
    <definedName name="Cum_Int_3">'Loan Amortization Schedule _2_'!$J$18:$J$377</definedName>
    <definedName name="Data_3">'Loan Amortization Schedule _2_'!$A$18:$J$377</definedName>
    <definedName name="End_Bal_3">'Loan Amortization Schedule _2_'!$I$18:$I$377</definedName>
    <definedName name="Excel_BuiltIn_Print_Titles_3">'Loan Amortization Schedule _2_'!$14:$17</definedName>
    <definedName name="Extra_Pay_3">'Loan Amortization Schedule _2_'!$E$18:$E$377</definedName>
    <definedName name="Full_Print_3">'Loan Amortization Schedule _2_'!$A$1:$J$377</definedName>
    <definedName name="Header_Row_3">ROW('Loan Amortization Schedule _2_'!$17:$17)</definedName>
    <definedName name="Int_3">'Loan Amortization Schedule _2_'!$H$18:$H$377</definedName>
    <definedName name="Interest_Rate_3">'Loan Amortization Schedule _2_'!$D$6</definedName>
    <definedName name="Last_Row">#N/A</definedName>
    <definedName name="Last_Row_3">IF(Values_Entered_3,Header_Row_3+Number_of_Payments_3,Header_Row_3)</definedName>
    <definedName name="Loan_Amount_3">'Loan Amortization Schedule _2_'!$D$5</definedName>
    <definedName name="Loan_Start_3">'Loan Amortization Schedule _2_'!$D$9</definedName>
    <definedName name="Loan_Years_3">'Loan Amortization Schedule _2_'!$D$7</definedName>
    <definedName name="Num_Pmt_Per_Year_3">'Loan Amortization Schedule _2_'!$D$8</definedName>
    <definedName name="Number_of_Payments">#N/A</definedName>
    <definedName name="Number_of_Payments_3">MATCH(0.01,End_Bal_3,-1)+1</definedName>
    <definedName name="Pay_Date_3">'Loan Amortization Schedule _2_'!$B$18:$B$377</definedName>
    <definedName name="Pay_Num_3">'Loan Amortization Schedule _2_'!$A$18:$A$377</definedName>
    <definedName name="Payment_Date">NA()</definedName>
    <definedName name="Payment_Date_3">NA()</definedName>
    <definedName name="Princ_3">'Loan Amortization Schedule _2_'!$G$18:$G$377</definedName>
    <definedName name="Print_Area_Reset">#N/A</definedName>
    <definedName name="Print_Area_Reset_3">OFFSET(Full_Print_3,0,0,Last_Row_3)</definedName>
    <definedName name="Sched_Pay_3">'Loan Amortization Schedule _2_'!$D$18:$D$377</definedName>
    <definedName name="Scheduled_Extra_Payments_3">'Loan Amortization Schedule _2_'!$D$10</definedName>
    <definedName name="Scheduled_Interest_Rate_3">'Loan Amortization Schedule _2_'!$D$6</definedName>
    <definedName name="Scheduled_Monthly_Payment_3">'Loan Amortization Schedule _2_'!$H$5</definedName>
    <definedName name="Total_Interest_3">'Loan Amortization Schedule _2_'!$H$9</definedName>
    <definedName name="Total_Pay_3">'Loan Amortization Schedule _2_'!$F$18:$F$377</definedName>
    <definedName name="Total_Payment">NA()</definedName>
    <definedName name="Total_Payment_3">NA()</definedName>
    <definedName name="Values_Entered">#N/A</definedName>
    <definedName name="Values_Entered_3">IF(Loan_Amount_3*Interest_Rate_3*Loan_Years_3*Loan_Start_3&gt;0,1,0)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<sst xmlns="http://schemas.openxmlformats.org/spreadsheetml/2006/main" count="462" uniqueCount="276">
  <si>
    <t>PROJECT FACTS:</t>
  </si>
  <si>
    <t>CONSTRUCTION/PERM LOAN</t>
  </si>
  <si>
    <t>Site Area</t>
  </si>
  <si>
    <t>Interest Rate</t>
  </si>
  <si>
    <t>Number of stories</t>
  </si>
  <si>
    <t>Term (Months)</t>
  </si>
  <si>
    <t>No pre-payment penalty</t>
  </si>
  <si>
    <t>per foot</t>
  </si>
  <si>
    <t>Construction/Mini-Perm Loan</t>
  </si>
  <si>
    <t>Project Value</t>
  </si>
  <si>
    <t>Loan-to-Cost</t>
  </si>
  <si>
    <t>Combined LTV</t>
  </si>
  <si>
    <t>Annual Debt Service</t>
  </si>
  <si>
    <t>Seller Carry-Back = No payments for first 15 months</t>
  </si>
  <si>
    <t>Common Area</t>
  </si>
  <si>
    <t>included</t>
  </si>
  <si>
    <t xml:space="preserve">CARRY-BACK FINANCING </t>
  </si>
  <si>
    <t>DCR</t>
  </si>
  <si>
    <t>LTV</t>
  </si>
  <si>
    <t>YR 5</t>
  </si>
  <si>
    <t>Loan Amount</t>
  </si>
  <si>
    <t>Parking</t>
  </si>
  <si>
    <t>spaces</t>
  </si>
  <si>
    <t>Open Land</t>
  </si>
  <si>
    <t>Term (Years)</t>
  </si>
  <si>
    <t>Number of Residential Units</t>
  </si>
  <si>
    <t>Debt-Coverage Ratio</t>
  </si>
  <si>
    <t>Number of commercial tenants</t>
  </si>
  <si>
    <t>GROSS BUILDING AREA</t>
  </si>
  <si>
    <t>per plans</t>
  </si>
  <si>
    <t>Combined Loan-to-Cost</t>
  </si>
  <si>
    <t>TOTAL NET LEASABLE</t>
  </si>
  <si>
    <t>Value per Net Square Foot</t>
  </si>
  <si>
    <t>Overall Efficiency</t>
  </si>
  <si>
    <t>Stabilized NOI</t>
  </si>
  <si>
    <t>City Market Rent/sq.ft.</t>
  </si>
  <si>
    <t>NNN</t>
  </si>
  <si>
    <t>CAP Rate</t>
  </si>
  <si>
    <t>Other Rent/sq.ft.</t>
  </si>
  <si>
    <t>Supportable Mortgage</t>
  </si>
  <si>
    <t>Billboard income</t>
  </si>
  <si>
    <t>per month</t>
  </si>
  <si>
    <t>Supportable Debt Service</t>
  </si>
  <si>
    <t>Parking Spaces</t>
  </si>
  <si>
    <t>CASH FLOW CALCULATION (YR 1)</t>
  </si>
  <si>
    <t>Parking Rent - average</t>
  </si>
  <si>
    <t>month</t>
  </si>
  <si>
    <t>TOTAL DEVELOPMENT COSTS</t>
  </si>
  <si>
    <t>Other Rent</t>
  </si>
  <si>
    <t>(-) First Position Bank Loan</t>
  </si>
  <si>
    <t>Misc Income</t>
  </si>
  <si>
    <t>(-) Development Fee Equity</t>
  </si>
  <si>
    <t>per month for 12 months</t>
  </si>
  <si>
    <t>(-) Leasing Equity</t>
  </si>
  <si>
    <t>Purchase Price</t>
  </si>
  <si>
    <t>(-) Seller Carry-Back</t>
  </si>
  <si>
    <t>per month for 15 years</t>
  </si>
  <si>
    <t>(-) Architecture Fee</t>
  </si>
  <si>
    <t>PROJECT COSTS</t>
  </si>
  <si>
    <t>Existing Building Value</t>
  </si>
  <si>
    <t>sq.ft.</t>
  </si>
  <si>
    <t>EQUITY REQUIRED</t>
  </si>
  <si>
    <t>Hard Costs</t>
  </si>
  <si>
    <t>NET OPERATING INCOME</t>
  </si>
  <si>
    <t>Artwork</t>
  </si>
  <si>
    <t>(-) MORTGAGE</t>
  </si>
  <si>
    <t>of hd costs</t>
  </si>
  <si>
    <t>25 year amortization, 10 year term</t>
  </si>
  <si>
    <t>Pre-Dev Consultants</t>
  </si>
  <si>
    <t>NET CASH FLOW</t>
  </si>
  <si>
    <t>Architecture &amp; Engineering</t>
  </si>
  <si>
    <t>Development Fees</t>
  </si>
  <si>
    <t>of value</t>
  </si>
  <si>
    <t>Ownership Breakdown</t>
  </si>
  <si>
    <t>Permit Fees</t>
  </si>
  <si>
    <t>Investment</t>
  </si>
  <si>
    <t>ownership</t>
  </si>
  <si>
    <t>Legal &amp; Accounting</t>
  </si>
  <si>
    <t>Construction Financing &amp; Carrying</t>
  </si>
  <si>
    <t>YR 1</t>
  </si>
  <si>
    <t>YR 2</t>
  </si>
  <si>
    <t>YR 3</t>
  </si>
  <si>
    <t>YR 4</t>
  </si>
  <si>
    <t>YR 6</t>
  </si>
  <si>
    <t>YR 7</t>
  </si>
  <si>
    <t>YR 8</t>
  </si>
  <si>
    <t>YR 9</t>
  </si>
  <si>
    <t>Permanent Financing</t>
  </si>
  <si>
    <t>Floats for first 10 yrs.</t>
  </si>
  <si>
    <t>Leasing</t>
  </si>
  <si>
    <t>Total Soft Costs</t>
  </si>
  <si>
    <t>sq. ft.</t>
  </si>
  <si>
    <t>TOTAL PROJECT COST</t>
  </si>
  <si>
    <t>Preferred for first 10 yrs.</t>
  </si>
  <si>
    <t>OPERATING PRO FORMA (PER YEAR)</t>
  </si>
  <si>
    <t>Other Rental Income</t>
  </si>
  <si>
    <t>Gross Income</t>
  </si>
  <si>
    <t>(-) Vacancy – Commercial</t>
  </si>
  <si>
    <t>(-) Fire Insurance – Commercial</t>
  </si>
  <si>
    <t>(-) Taxes</t>
  </si>
  <si>
    <t>(-) Water</t>
  </si>
  <si>
    <t>(-) Trash/Utilities</t>
  </si>
  <si>
    <t>(-) Repairs &amp; Maintenance</t>
  </si>
  <si>
    <t>(-) Replacement Reserves</t>
  </si>
  <si>
    <t>(-) Misc. Expenses</t>
  </si>
  <si>
    <t>(-) Commercial Management  (Cavenaugh)</t>
  </si>
  <si>
    <t>Total Expenses</t>
  </si>
  <si>
    <t>...per unit</t>
  </si>
  <si>
    <t>…per sq. ft.</t>
  </si>
  <si>
    <t>Revenue (3% escalator)</t>
  </si>
  <si>
    <t>NOTE  -  THIS PROFORMA PREPARED BY MANAGER DOES NOT TAKE INTO ACCOUNT OR</t>
  </si>
  <si>
    <t>Expenses (3% escalator)</t>
  </si>
  <si>
    <t>MAKE ANY PROVISION FOR ANY CHANGE IN LOCAL OR GENERAL ECONOMIC CONDITIONS</t>
  </si>
  <si>
    <t>OR INCREASES IN REDEVELOPMENT COSTS OR THE AFFECTS OF ANY DELAYS IN COMMENCING</t>
  </si>
  <si>
    <t>NOI</t>
  </si>
  <si>
    <t>THE REDEVELOPMENT PROCESS OR DECREASES IN RENTAL RATES.  BY EXECUTING THIS</t>
  </si>
  <si>
    <t>Debt Service</t>
  </si>
  <si>
    <t>AGREEMENT, EACH MEMBER ACKNOWLEDGES THAT MANAGER IS NOT MAKING ANY WARRANTIES</t>
  </si>
  <si>
    <t>OR GUARANTIES OR ANY REPRESENTATION WITH RESPECT TO ANY OF THE PROJECTIONS</t>
  </si>
  <si>
    <t>RETURN ON INVESTMENT</t>
  </si>
  <si>
    <t>SET FORTH IN THIS PROFORMA.  PROFORMAS ARE SUBJECT TO UNCERTAINTY AND VARIATION</t>
  </si>
  <si>
    <t>Combined DCR</t>
  </si>
  <si>
    <t>AND THEREFORE ARE NOT REPRESENTED AS RESULTS THAT WILL ACTUALLY BE ACHIEVED.</t>
  </si>
  <si>
    <t>THIS PROFORMA IS NOT INTENDED AS INDUCEMENT FOR ANY MEMBER TO ENTER INTO THIS</t>
  </si>
  <si>
    <t>PROJECT APPRECIATION at 3%</t>
  </si>
  <si>
    <t>AGREEMENT OR BECOME A MEMBER OF THE COMPANY.</t>
  </si>
  <si>
    <t>NET SALES/REFINANCE PROCEEDS</t>
  </si>
  <si>
    <t>LOAN BALANCE</t>
  </si>
  <si>
    <t>TOTAL EQUITY</t>
  </si>
  <si>
    <t>Land Value:</t>
  </si>
  <si>
    <t>SQ. FT.</t>
  </si>
  <si>
    <t>Construction Costs:</t>
  </si>
  <si>
    <t>Remodel Costs</t>
  </si>
  <si>
    <t>New Construction Costs</t>
  </si>
  <si>
    <t>Included</t>
  </si>
  <si>
    <t>Parking Cost</t>
  </si>
  <si>
    <t>Common Site Costs</t>
  </si>
  <si>
    <t>Street Improvements</t>
  </si>
  <si>
    <t>Furniture Fixtures &amp; Equipment</t>
  </si>
  <si>
    <t>Not Incl.</t>
  </si>
  <si>
    <t>Tenant Improvements</t>
  </si>
  <si>
    <t>Contingency/Design &amp; Inflation</t>
  </si>
  <si>
    <t>Hard Cost Total</t>
  </si>
  <si>
    <t>Subtotal</t>
  </si>
  <si>
    <t>Pre-Development Consultants:</t>
  </si>
  <si>
    <t>Architecture/Engineering Studies</t>
  </si>
  <si>
    <t>of hard costs</t>
  </si>
  <si>
    <t>Project Management</t>
  </si>
  <si>
    <t>Site Survey</t>
  </si>
  <si>
    <t>Appraisal</t>
  </si>
  <si>
    <t>Geotechnical Report</t>
  </si>
  <si>
    <t>Environmental Studies</t>
  </si>
  <si>
    <t>Traffic Study</t>
  </si>
  <si>
    <t>Market Study</t>
  </si>
  <si>
    <t>Total</t>
  </si>
  <si>
    <t>Architecture &amp; Engineering Fees:</t>
  </si>
  <si>
    <t>Architecture/Engineering Services*</t>
  </si>
  <si>
    <t>Construction Phase Services</t>
  </si>
  <si>
    <t>Incl.</t>
  </si>
  <si>
    <t>Geotechnical Consultant</t>
  </si>
  <si>
    <t>LEED Consultants</t>
  </si>
  <si>
    <t>Construction Testing &amp; Inspection</t>
  </si>
  <si>
    <t>Consultant Reimbursables</t>
  </si>
  <si>
    <t>*Includes:  Architecture, structural, civil, mechanical/electrical engineering, landscape architecture, cost estimating, graphics and acoustical consulting</t>
  </si>
  <si>
    <t>Development Fees &amp; Administration:</t>
  </si>
  <si>
    <t>Development Design Fee</t>
  </si>
  <si>
    <t>Development Fee</t>
  </si>
  <si>
    <t>of total development value</t>
  </si>
  <si>
    <t>Contract/Construction Administration</t>
  </si>
  <si>
    <t>Builder's Risk Insurance</t>
  </si>
  <si>
    <t>Title Insurance, Closing and Recording</t>
  </si>
  <si>
    <t>Miscellaneous Costs</t>
  </si>
  <si>
    <t>N/A</t>
  </si>
  <si>
    <t>Permit Fees and System Charges:</t>
  </si>
  <si>
    <t>Building Permits</t>
  </si>
  <si>
    <t>of construction costs</t>
  </si>
  <si>
    <t>Public Improvement Permits</t>
  </si>
  <si>
    <t>Land Use Approvals</t>
  </si>
  <si>
    <t>Water Connections</t>
  </si>
  <si>
    <t>existing</t>
  </si>
  <si>
    <t>units</t>
  </si>
  <si>
    <t>Per Meter</t>
  </si>
  <si>
    <t>Storm Water</t>
  </si>
  <si>
    <t>per single family unit</t>
  </si>
  <si>
    <t>Per commercial unit</t>
  </si>
  <si>
    <t>new unit</t>
  </si>
  <si>
    <t>Systems Development Fee-Water</t>
  </si>
  <si>
    <t>Systems Development Fee-Sewer</t>
  </si>
  <si>
    <t>http://www.portlandtransportation.org/SystemDevelopmentCharge/Rates.htm</t>
  </si>
  <si>
    <t>PBOT SDC Fees</t>
  </si>
  <si>
    <t>per single sq.ft.</t>
  </si>
  <si>
    <t>varies</t>
  </si>
  <si>
    <t>http://www.portlandparks.org/Planning/SystemDevCharge.htm</t>
  </si>
  <si>
    <t>Parks SDC - Residential Only</t>
  </si>
  <si>
    <t>per unit</t>
  </si>
  <si>
    <t>Street Trees</t>
  </si>
  <si>
    <t>Pay into fund</t>
  </si>
  <si>
    <t>Contingency for Fee Increases</t>
  </si>
  <si>
    <t>Legal &amp; Accounting Fees:</t>
  </si>
  <si>
    <t>Development Agreements</t>
  </si>
  <si>
    <t>Condominium Documents</t>
  </si>
  <si>
    <t>Leases</t>
  </si>
  <si>
    <t>Misc. Legal</t>
  </si>
  <si>
    <t>1031 Reverse Exchange</t>
  </si>
  <si>
    <t>Construction Financing &amp; Carrying Costs:</t>
  </si>
  <si>
    <t>Loan Fee</t>
  </si>
  <si>
    <t>of construction loan</t>
  </si>
  <si>
    <t>Lender Fee</t>
  </si>
  <si>
    <t>flat fee</t>
  </si>
  <si>
    <t>Construction Period Interest</t>
  </si>
  <si>
    <t>Year 1 Operating Loss/(Income)</t>
  </si>
  <si>
    <t>http://www.portlandmaps.com/</t>
  </si>
  <si>
    <t>Development Period Property Taxes</t>
  </si>
  <si>
    <t>Title Fee</t>
  </si>
  <si>
    <t>Permanent Financing Fees &amp; Costs:</t>
  </si>
  <si>
    <t>Loan Fees</t>
  </si>
  <si>
    <t>Lender's Costs</t>
  </si>
  <si>
    <t>Operating Reserve</t>
  </si>
  <si>
    <t>Leasing/Promotional Costs:</t>
  </si>
  <si>
    <t>Leasing Brochures</t>
  </si>
  <si>
    <t>For Sale Product Commissions</t>
  </si>
  <si>
    <t>Advertising &amp; Marketing</t>
  </si>
  <si>
    <t>Openings/Events</t>
  </si>
  <si>
    <t>Pre-Leasing Costs</t>
  </si>
  <si>
    <t>Leasing Salaries/Commissions</t>
  </si>
  <si>
    <t>Paid for from Lease deposits at the time of occupancy</t>
  </si>
  <si>
    <t>Model Apts/Leasing Office Expenses</t>
  </si>
  <si>
    <t>Soft Cost Total</t>
  </si>
  <si>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</si>
  <si>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</si>
  <si>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</si>
  <si>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</si>
  <si>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</si>
  <si>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</si>
  <si>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</si>
  <si>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</si>
  <si>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</si>
  <si>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</si>
  <si>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</si>
  <si>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</si>
  <si>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</si>
  <si>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</si>
  <si>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</si>
  <si>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</si>
  <si>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</si>
  <si>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</si>
  <si>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</si>
  <si>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</si>
  <si>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</si>
  <si>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</si>
  <si>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</si>
  <si>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</si>
  <si>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</si>
  <si>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YR 0</t>
  </si>
  <si>
    <t>11 yr IRR</t>
  </si>
  <si>
    <t>EXCESS LAND VALUE</t>
  </si>
  <si>
    <t>GAP</t>
  </si>
  <si>
    <t>Kevin Cavenaugh</t>
  </si>
  <si>
    <t>Guerrilla Development</t>
  </si>
  <si>
    <t>Flex Retail/Office</t>
  </si>
  <si>
    <t>Cost Estimate</t>
  </si>
  <si>
    <t>Utilities</t>
  </si>
  <si>
    <t>Soft Cost Contingency</t>
  </si>
  <si>
    <t>Contingency</t>
  </si>
  <si>
    <t>Market</t>
  </si>
  <si>
    <t>Market Rental Income</t>
  </si>
  <si>
    <t>Investor 1</t>
  </si>
  <si>
    <t>Investor 2</t>
  </si>
  <si>
    <t>Investor 3</t>
  </si>
  <si>
    <t>Investor 4</t>
  </si>
  <si>
    <t>Investor 5</t>
  </si>
  <si>
    <t>Investor 6</t>
  </si>
  <si>
    <t>Investor 7</t>
  </si>
  <si>
    <t>Investor 8</t>
  </si>
  <si>
    <t>Investor 9</t>
  </si>
  <si>
    <t>The Shore – Market and a Full Table, with SOV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</si>
</sst>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"/>
    <numFmt numFmtId="165" formatCode="[$$-409]#,##0.0;[Red]\-[$$-409]#,##0.0"/>
    <numFmt numFmtId="166" formatCode="[$$-409]#,##0;[Red]\-[$$-409]#,##0"/>
    <numFmt numFmtId="167" formatCode="\$#,##0_);[Red]&quot;($&quot;#,##0\)"/>
    <numFmt numFmtId="168" formatCode="\$#,##0"/>
    <numFmt numFmtId="169" formatCode="0.000%"/>
    <numFmt numFmtId="170" formatCode="\$#,##0_);&quot;($&quot;#,##0\)"/>
    <numFmt numFmtId="171" formatCode="0.00_);[Red]\(0.00\)"/>
    <numFmt numFmtId="172" formatCode="_(\$* #,##0.00_);_(\$* \(#,##0.00\);_(\$* \-??_);_(@_)"/>
    <numFmt numFmtId="173" formatCode="#,##0.0"/>
    <numFmt numFmtId="174" formatCode="_(\$* #,##0_);_(\$* \(#,##0\);_(\$* \-??_);_(@_)"/>
    <numFmt numFmtId="175" formatCode="_(* #,##0.00_);_(* \(#,##0.00\);_(* \-??_);_(@_)"/>
    <numFmt numFmtId="176" formatCode="_(* #,##0_);_(* \(#,##0\);_(* \-??_);_(@_)"/>
    <numFmt numFmtId="177" formatCode="_(\$* #,##0_);_(\$* \(#,##0\);_(\$* \-_);_(@_)"/>
    <numFmt numFmtId="178" formatCode="\$#,##0.00_);[Red]&quot;($&quot;#,##0.00\)"/>
    <numFmt numFmtId="179" formatCode="0.0%"/>
    <numFmt numFmtId="180" formatCode="#,##0.00000_);[Red]\(#,##0.00000\)"/>
    <numFmt numFmtId="181" formatCode="_(* #,##0_);_(* \(#,##0\);_(* \-_);_(@_)"/>
    <numFmt numFmtId="182" formatCode="#,##0.00;[Red]\-#,##0.00"/>
    <numFmt numFmtId="183" formatCode="0.00_);\(0.00\)"/>
    <numFmt numFmtId="184" formatCode="mmmm\ d&quot;, &quot;yyyy;@"/>
    <numFmt numFmtId="185" formatCode="0.00?%_)"/>
    <numFmt numFmtId="186" formatCode="0_)"/>
  </numFmts>
  <fonts count="53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5" fontId="0" fillId="0" borderId="0">
      <alignment/>
      <protection/>
    </xf>
    <xf numFmtId="41" fontId="0" fillId="0" borderId="0" applyFill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37" fontId="0" fillId="0" borderId="0" xfId="59" applyNumberFormat="1" applyFont="1" applyBorder="1" applyProtection="1">
      <alignment/>
      <protection/>
    </xf>
    <xf numFmtId="37" fontId="0" fillId="0" borderId="0" xfId="59" applyNumberFormat="1" applyFont="1" applyBorder="1">
      <alignment/>
      <protection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Font="1" applyAlignment="1">
      <alignment/>
    </xf>
    <xf numFmtId="165" fontId="0" fillId="0" borderId="13" xfId="0" applyNumberFormat="1" applyBorder="1" applyAlignment="1">
      <alignment/>
    </xf>
    <xf numFmtId="9" fontId="0" fillId="0" borderId="13" xfId="58" applyFont="1" applyBorder="1" applyAlignment="1" applyProtection="1">
      <alignment horizontal="left"/>
      <protection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 horizontal="right"/>
      <protection/>
    </xf>
    <xf numFmtId="165" fontId="0" fillId="0" borderId="0" xfId="0" applyNumberFormat="1" applyBorder="1" applyAlignment="1">
      <alignment/>
    </xf>
    <xf numFmtId="9" fontId="0" fillId="0" borderId="0" xfId="58" applyFont="1" applyBorder="1" applyAlignment="1" applyProtection="1">
      <alignment horizontal="left"/>
      <protection/>
    </xf>
    <xf numFmtId="3" fontId="4" fillId="0" borderId="18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6" fillId="0" borderId="18" xfId="0" applyNumberFormat="1" applyFont="1" applyBorder="1" applyAlignment="1">
      <alignment horizontal="right"/>
    </xf>
    <xf numFmtId="10" fontId="0" fillId="0" borderId="0" xfId="59" applyNumberFormat="1" applyFont="1" applyBorder="1">
      <alignment/>
      <protection/>
    </xf>
    <xf numFmtId="0" fontId="0" fillId="0" borderId="17" xfId="0" applyBorder="1" applyAlignment="1">
      <alignment/>
    </xf>
    <xf numFmtId="165" fontId="0" fillId="0" borderId="0" xfId="58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167" fontId="4" fillId="0" borderId="16" xfId="0" applyNumberFormat="1" applyFont="1" applyBorder="1" applyAlignment="1">
      <alignment horizontal="right"/>
    </xf>
    <xf numFmtId="9" fontId="0" fillId="0" borderId="0" xfId="58" applyFont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 horizontal="right"/>
    </xf>
    <xf numFmtId="167" fontId="4" fillId="0" borderId="21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168" fontId="0" fillId="0" borderId="0" xfId="0" applyNumberFormat="1" applyBorder="1" applyAlignment="1">
      <alignment/>
    </xf>
    <xf numFmtId="169" fontId="8" fillId="0" borderId="0" xfId="0" applyNumberFormat="1" applyFont="1" applyAlignment="1">
      <alignment/>
    </xf>
    <xf numFmtId="169" fontId="0" fillId="0" borderId="18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9" fontId="0" fillId="0" borderId="0" xfId="58" applyFont="1" applyBorder="1" applyAlignment="1" applyProtection="1">
      <alignment horizontal="right"/>
      <protection/>
    </xf>
    <xf numFmtId="0" fontId="0" fillId="0" borderId="21" xfId="0" applyBorder="1" applyAlignment="1">
      <alignment horizontal="right"/>
    </xf>
    <xf numFmtId="0" fontId="0" fillId="0" borderId="17" xfId="0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21" xfId="0" applyNumberForma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6" xfId="0" applyBorder="1" applyAlignment="1">
      <alignment/>
    </xf>
    <xf numFmtId="168" fontId="4" fillId="0" borderId="18" xfId="0" applyNumberFormat="1" applyFont="1" applyBorder="1" applyAlignment="1">
      <alignment horizontal="right"/>
    </xf>
    <xf numFmtId="168" fontId="4" fillId="0" borderId="2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9" fontId="8" fillId="0" borderId="18" xfId="0" applyNumberFormat="1" applyFont="1" applyBorder="1" applyAlignment="1">
      <alignment/>
    </xf>
    <xf numFmtId="9" fontId="8" fillId="0" borderId="21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170" fontId="4" fillId="0" borderId="21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9" fontId="0" fillId="0" borderId="16" xfId="58" applyFont="1" applyBorder="1" applyAlignment="1" applyProtection="1">
      <alignment/>
      <protection/>
    </xf>
    <xf numFmtId="167" fontId="4" fillId="0" borderId="0" xfId="0" applyNumberFormat="1" applyFont="1" applyAlignment="1">
      <alignment/>
    </xf>
    <xf numFmtId="171" fontId="0" fillId="0" borderId="0" xfId="0" applyNumberFormat="1" applyBorder="1" applyAlignment="1">
      <alignment horizontal="center"/>
    </xf>
    <xf numFmtId="0" fontId="4" fillId="33" borderId="17" xfId="0" applyFont="1" applyFill="1" applyBorder="1" applyAlignment="1">
      <alignment wrapText="1"/>
    </xf>
    <xf numFmtId="173" fontId="4" fillId="33" borderId="0" xfId="44" applyNumberFormat="1" applyFont="1" applyFill="1" applyBorder="1" applyAlignment="1" applyProtection="1">
      <alignment wrapText="1"/>
      <protection/>
    </xf>
    <xf numFmtId="172" fontId="4" fillId="33" borderId="0" xfId="44" applyFont="1" applyFill="1" applyBorder="1" applyAlignment="1" applyProtection="1">
      <alignment horizontal="left"/>
      <protection/>
    </xf>
    <xf numFmtId="9" fontId="4" fillId="33" borderId="0" xfId="44" applyNumberFormat="1" applyFont="1" applyFill="1" applyBorder="1" applyAlignment="1" applyProtection="1">
      <alignment horizontal="right"/>
      <protection/>
    </xf>
    <xf numFmtId="167" fontId="4" fillId="33" borderId="18" xfId="0" applyNumberFormat="1" applyFont="1" applyFill="1" applyBorder="1" applyAlignment="1">
      <alignment horizontal="right"/>
    </xf>
    <xf numFmtId="169" fontId="8" fillId="0" borderId="18" xfId="0" applyNumberFormat="1" applyFont="1" applyBorder="1" applyAlignment="1">
      <alignment horizontal="right"/>
    </xf>
    <xf numFmtId="169" fontId="8" fillId="0" borderId="22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0" applyNumberFormat="1" applyBorder="1" applyAlignment="1">
      <alignment horizontal="center"/>
    </xf>
    <xf numFmtId="174" fontId="4" fillId="33" borderId="0" xfId="0" applyNumberFormat="1" applyFont="1" applyFill="1" applyBorder="1" applyAlignment="1">
      <alignment wrapText="1"/>
    </xf>
    <xf numFmtId="166" fontId="4" fillId="33" borderId="0" xfId="44" applyNumberFormat="1" applyFont="1" applyFill="1" applyBorder="1" applyAlignment="1" applyProtection="1">
      <alignment horizontal="right"/>
      <protection/>
    </xf>
    <xf numFmtId="167" fontId="4" fillId="33" borderId="18" xfId="0" applyNumberFormat="1" applyFont="1" applyFill="1" applyBorder="1" applyAlignment="1">
      <alignment horizontal="left"/>
    </xf>
    <xf numFmtId="167" fontId="0" fillId="0" borderId="15" xfId="0" applyNumberFormat="1" applyFont="1" applyBorder="1" applyAlignment="1">
      <alignment/>
    </xf>
    <xf numFmtId="167" fontId="0" fillId="0" borderId="20" xfId="0" applyNumberFormat="1" applyFont="1" applyBorder="1" applyAlignment="1">
      <alignment/>
    </xf>
    <xf numFmtId="172" fontId="4" fillId="33" borderId="0" xfId="44" applyFont="1" applyFill="1" applyBorder="1" applyAlignment="1" applyProtection="1">
      <alignment horizontal="right"/>
      <protection/>
    </xf>
    <xf numFmtId="176" fontId="4" fillId="33" borderId="18" xfId="42" applyNumberFormat="1" applyFont="1" applyFill="1" applyBorder="1" applyAlignment="1" applyProtection="1">
      <alignment horizontal="right"/>
      <protection/>
    </xf>
    <xf numFmtId="172" fontId="4" fillId="33" borderId="0" xfId="44" applyFont="1" applyFill="1" applyBorder="1" applyAlignment="1" applyProtection="1">
      <alignment/>
      <protection/>
    </xf>
    <xf numFmtId="172" fontId="4" fillId="33" borderId="18" xfId="44" applyFont="1" applyFill="1" applyBorder="1" applyAlignment="1" applyProtection="1">
      <alignment horizontal="right"/>
      <protection/>
    </xf>
    <xf numFmtId="177" fontId="0" fillId="0" borderId="14" xfId="42" applyNumberFormat="1" applyFont="1" applyBorder="1" applyAlignment="1" applyProtection="1">
      <alignment horizontal="right"/>
      <protection/>
    </xf>
    <xf numFmtId="0" fontId="4" fillId="33" borderId="0" xfId="0" applyFont="1" applyFill="1" applyBorder="1" applyAlignment="1">
      <alignment wrapText="1"/>
    </xf>
    <xf numFmtId="9" fontId="0" fillId="0" borderId="0" xfId="0" applyNumberFormat="1" applyBorder="1" applyAlignment="1">
      <alignment/>
    </xf>
    <xf numFmtId="167" fontId="0" fillId="0" borderId="18" xfId="42" applyNumberFormat="1" applyFont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2" fontId="4" fillId="33" borderId="15" xfId="44" applyFont="1" applyFill="1" applyBorder="1" applyAlignment="1" applyProtection="1">
      <alignment horizontal="right"/>
      <protection/>
    </xf>
    <xf numFmtId="177" fontId="4" fillId="33" borderId="16" xfId="0" applyNumberFormat="1" applyFont="1" applyFill="1" applyBorder="1" applyAlignment="1">
      <alignment horizontal="right"/>
    </xf>
    <xf numFmtId="167" fontId="0" fillId="0" borderId="18" xfId="42" applyNumberFormat="1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8" fontId="4" fillId="33" borderId="13" xfId="0" applyNumberFormat="1" applyFont="1" applyFill="1" applyBorder="1" applyAlignment="1">
      <alignment horizontal="right"/>
    </xf>
    <xf numFmtId="174" fontId="4" fillId="33" borderId="18" xfId="44" applyNumberFormat="1" applyFont="1" applyFill="1" applyBorder="1" applyAlignment="1" applyProtection="1">
      <alignment horizontal="right"/>
      <protection/>
    </xf>
    <xf numFmtId="167" fontId="0" fillId="0" borderId="0" xfId="0" applyNumberFormat="1" applyBorder="1" applyAlignment="1">
      <alignment/>
    </xf>
    <xf numFmtId="167" fontId="4" fillId="33" borderId="20" xfId="42" applyNumberFormat="1" applyFont="1" applyFill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178" fontId="4" fillId="33" borderId="0" xfId="0" applyNumberFormat="1" applyFont="1" applyFill="1" applyBorder="1" applyAlignment="1">
      <alignment horizontal="right"/>
    </xf>
    <xf numFmtId="179" fontId="0" fillId="0" borderId="0" xfId="58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right"/>
    </xf>
    <xf numFmtId="179" fontId="0" fillId="0" borderId="17" xfId="58" applyNumberFormat="1" applyFont="1" applyBorder="1" applyAlignment="1" applyProtection="1">
      <alignment/>
      <protection/>
    </xf>
    <xf numFmtId="174" fontId="4" fillId="0" borderId="18" xfId="44" applyNumberFormat="1" applyFont="1" applyBorder="1" applyAlignment="1" applyProtection="1">
      <alignment horizontal="right"/>
      <protection/>
    </xf>
    <xf numFmtId="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7" fontId="4" fillId="33" borderId="25" xfId="42" applyNumberFormat="1" applyFont="1" applyFill="1" applyBorder="1" applyAlignment="1" applyProtection="1">
      <alignment horizontal="right"/>
      <protection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80" fontId="0" fillId="0" borderId="0" xfId="58" applyNumberFormat="1" applyFont="1" applyBorder="1" applyAlignment="1" applyProtection="1">
      <alignment horizontal="center"/>
      <protection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178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167" fontId="4" fillId="34" borderId="20" xfId="0" applyNumberFormat="1" applyFont="1" applyFill="1" applyBorder="1" applyAlignment="1">
      <alignment horizontal="center"/>
    </xf>
    <xf numFmtId="179" fontId="4" fillId="34" borderId="2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179" fontId="4" fillId="0" borderId="12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79" fontId="0" fillId="0" borderId="31" xfId="0" applyNumberFormat="1" applyBorder="1" applyAlignment="1">
      <alignment horizontal="right"/>
    </xf>
    <xf numFmtId="174" fontId="4" fillId="0" borderId="32" xfId="44" applyNumberFormat="1" applyFont="1" applyBorder="1" applyAlignment="1" applyProtection="1">
      <alignment horizontal="right"/>
      <protection/>
    </xf>
    <xf numFmtId="0" fontId="0" fillId="0" borderId="21" xfId="0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72" fontId="4" fillId="33" borderId="24" xfId="44" applyFont="1" applyFill="1" applyBorder="1" applyAlignment="1" applyProtection="1">
      <alignment/>
      <protection/>
    </xf>
    <xf numFmtId="0" fontId="4" fillId="33" borderId="24" xfId="0" applyFont="1" applyFill="1" applyBorder="1" applyAlignment="1">
      <alignment horizontal="right"/>
    </xf>
    <xf numFmtId="174" fontId="4" fillId="33" borderId="25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 horizontal="left"/>
    </xf>
    <xf numFmtId="179" fontId="0" fillId="0" borderId="20" xfId="58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22" xfId="0" applyBorder="1" applyAlignment="1">
      <alignment/>
    </xf>
    <xf numFmtId="181" fontId="4" fillId="0" borderId="22" xfId="0" applyNumberFormat="1" applyFont="1" applyBorder="1" applyAlignment="1">
      <alignment/>
    </xf>
    <xf numFmtId="0" fontId="0" fillId="0" borderId="0" xfId="0" applyFill="1" applyBorder="1" applyAlignment="1">
      <alignment/>
    </xf>
    <xf numFmtId="17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167" fontId="0" fillId="0" borderId="14" xfId="42" applyNumberFormat="1" applyFont="1" applyBorder="1" applyAlignment="1" applyProtection="1">
      <alignment horizontal="right" indent="1"/>
      <protection/>
    </xf>
    <xf numFmtId="176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right"/>
    </xf>
    <xf numFmtId="167" fontId="0" fillId="0" borderId="18" xfId="42" applyNumberFormat="1" applyFont="1" applyBorder="1" applyAlignment="1" applyProtection="1">
      <alignment horizontal="right" indent="1"/>
      <protection/>
    </xf>
    <xf numFmtId="175" fontId="0" fillId="0" borderId="0" xfId="0" applyNumberFormat="1" applyAlignment="1">
      <alignment/>
    </xf>
    <xf numFmtId="0" fontId="0" fillId="0" borderId="33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33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15" xfId="0" applyNumberFormat="1" applyBorder="1" applyAlignment="1">
      <alignment/>
    </xf>
    <xf numFmtId="9" fontId="0" fillId="0" borderId="15" xfId="0" applyNumberFormat="1" applyBorder="1" applyAlignment="1">
      <alignment horizontal="right"/>
    </xf>
    <xf numFmtId="167" fontId="0" fillId="0" borderId="16" xfId="42" applyNumberFormat="1" applyFont="1" applyBorder="1" applyAlignment="1" applyProtection="1">
      <alignment horizontal="right" indent="1"/>
      <protection/>
    </xf>
    <xf numFmtId="182" fontId="0" fillId="0" borderId="0" xfId="42" applyNumberFormat="1" applyFont="1" applyBorder="1" applyAlignment="1" applyProtection="1">
      <alignment horizontal="right" indent="1"/>
      <protection/>
    </xf>
    <xf numFmtId="174" fontId="0" fillId="0" borderId="0" xfId="44" applyNumberFormat="1" applyFont="1" applyBorder="1" applyAlignment="1" applyProtection="1">
      <alignment horizontal="right"/>
      <protection/>
    </xf>
    <xf numFmtId="168" fontId="0" fillId="0" borderId="0" xfId="0" applyNumberFormat="1" applyFont="1" applyAlignment="1">
      <alignment horizontal="right"/>
    </xf>
    <xf numFmtId="167" fontId="0" fillId="0" borderId="0" xfId="42" applyNumberFormat="1" applyFont="1" applyBorder="1" applyAlignment="1" applyProtection="1">
      <alignment horizontal="right" indent="1"/>
      <protection/>
    </xf>
    <xf numFmtId="172" fontId="0" fillId="0" borderId="0" xfId="44" applyFont="1" applyBorder="1" applyAlignment="1" applyProtection="1">
      <alignment/>
      <protection/>
    </xf>
    <xf numFmtId="167" fontId="0" fillId="0" borderId="0" xfId="0" applyNumberFormat="1" applyFont="1" applyAlignment="1">
      <alignment horizontal="right"/>
    </xf>
    <xf numFmtId="9" fontId="0" fillId="0" borderId="0" xfId="0" applyNumberFormat="1" applyBorder="1" applyAlignment="1">
      <alignment horizontal="left"/>
    </xf>
    <xf numFmtId="167" fontId="0" fillId="0" borderId="15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left"/>
    </xf>
    <xf numFmtId="167" fontId="0" fillId="0" borderId="18" xfId="42" applyNumberFormat="1" applyFont="1" applyBorder="1" applyAlignment="1" applyProtection="1">
      <alignment horizontal="center"/>
      <protection/>
    </xf>
    <xf numFmtId="174" fontId="0" fillId="0" borderId="0" xfId="44" applyNumberFormat="1" applyFont="1" applyBorder="1" applyAlignment="1" applyProtection="1">
      <alignment horizontal="left" indent="6"/>
      <protection/>
    </xf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9" fontId="0" fillId="0" borderId="31" xfId="0" applyNumberFormat="1" applyFont="1" applyBorder="1" applyAlignment="1">
      <alignment horizontal="right"/>
    </xf>
    <xf numFmtId="179" fontId="0" fillId="0" borderId="31" xfId="0" applyNumberFormat="1" applyFont="1" applyBorder="1" applyAlignment="1">
      <alignment horizontal="right"/>
    </xf>
    <xf numFmtId="167" fontId="0" fillId="0" borderId="32" xfId="42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 horizontal="right"/>
    </xf>
    <xf numFmtId="0" fontId="0" fillId="0" borderId="24" xfId="0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67" fontId="0" fillId="0" borderId="35" xfId="42" applyNumberFormat="1" applyFont="1" applyBorder="1" applyAlignment="1" applyProtection="1">
      <alignment horizontal="right" indent="1"/>
      <protection/>
    </xf>
    <xf numFmtId="178" fontId="0" fillId="0" borderId="18" xfId="42" applyNumberFormat="1" applyFont="1" applyBorder="1" applyAlignment="1" applyProtection="1">
      <alignment horizontal="right" indent="1"/>
      <protection/>
    </xf>
    <xf numFmtId="174" fontId="4" fillId="0" borderId="25" xfId="44" applyNumberFormat="1" applyFont="1" applyBorder="1" applyAlignment="1" applyProtection="1">
      <alignment horizontal="right"/>
      <protection/>
    </xf>
    <xf numFmtId="0" fontId="0" fillId="33" borderId="26" xfId="0" applyFill="1" applyBorder="1" applyAlignment="1">
      <alignment/>
    </xf>
    <xf numFmtId="0" fontId="4" fillId="33" borderId="12" xfId="0" applyFont="1" applyFill="1" applyBorder="1" applyAlignment="1">
      <alignment/>
    </xf>
    <xf numFmtId="37" fontId="0" fillId="33" borderId="12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7" fontId="0" fillId="33" borderId="17" xfId="0" applyNumberFormat="1" applyFill="1" applyBorder="1" applyAlignment="1">
      <alignment/>
    </xf>
    <xf numFmtId="37" fontId="0" fillId="33" borderId="21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7" fontId="0" fillId="33" borderId="19" xfId="0" applyNumberFormat="1" applyFill="1" applyBorder="1" applyAlignment="1">
      <alignment/>
    </xf>
    <xf numFmtId="0" fontId="9" fillId="0" borderId="0" xfId="0" applyFont="1" applyAlignment="1">
      <alignment/>
    </xf>
    <xf numFmtId="179" fontId="0" fillId="33" borderId="22" xfId="0" applyNumberFormat="1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4" fillId="33" borderId="20" xfId="0" applyFont="1" applyFill="1" applyBorder="1" applyAlignment="1">
      <alignment/>
    </xf>
    <xf numFmtId="183" fontId="4" fillId="33" borderId="20" xfId="0" applyNumberFormat="1" applyFont="1" applyFill="1" applyBorder="1" applyAlignment="1">
      <alignment/>
    </xf>
    <xf numFmtId="183" fontId="0" fillId="33" borderId="20" xfId="0" applyNumberFormat="1" applyFill="1" applyBorder="1" applyAlignment="1">
      <alignment/>
    </xf>
    <xf numFmtId="168" fontId="0" fillId="33" borderId="20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17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179" fontId="4" fillId="34" borderId="36" xfId="0" applyNumberFormat="1" applyFont="1" applyFill="1" applyBorder="1" applyAlignment="1">
      <alignment/>
    </xf>
    <xf numFmtId="179" fontId="4" fillId="0" borderId="13" xfId="0" applyNumberFormat="1" applyFont="1" applyBorder="1" applyAlignment="1">
      <alignment/>
    </xf>
    <xf numFmtId="38" fontId="0" fillId="0" borderId="17" xfId="0" applyNumberFormat="1" applyBorder="1" applyAlignment="1">
      <alignment/>
    </xf>
    <xf numFmtId="37" fontId="0" fillId="0" borderId="0" xfId="0" applyNumberFormat="1" applyBorder="1" applyAlignment="1">
      <alignment/>
    </xf>
    <xf numFmtId="179" fontId="0" fillId="0" borderId="15" xfId="58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0" fillId="0" borderId="11" xfId="44" applyNumberFormat="1" applyFont="1" applyBorder="1" applyAlignment="1" applyProtection="1">
      <alignment/>
      <protection/>
    </xf>
    <xf numFmtId="0" fontId="4" fillId="0" borderId="10" xfId="59" applyFont="1" applyBorder="1" applyAlignment="1">
      <alignment horizontal="left" vertical="center"/>
      <protection/>
    </xf>
    <xf numFmtId="0" fontId="4" fillId="0" borderId="0" xfId="59" applyFont="1" applyBorder="1" applyAlignment="1">
      <alignment horizontal="left" vertical="center"/>
      <protection/>
    </xf>
    <xf numFmtId="178" fontId="10" fillId="0" borderId="0" xfId="44" applyNumberFormat="1" applyFont="1" applyBorder="1" applyAlignment="1" applyProtection="1">
      <alignment/>
      <protection/>
    </xf>
    <xf numFmtId="174" fontId="0" fillId="0" borderId="0" xfId="44" applyNumberFormat="1" applyFont="1" applyBorder="1" applyAlignment="1" applyProtection="1">
      <alignment/>
      <protection/>
    </xf>
    <xf numFmtId="174" fontId="4" fillId="34" borderId="37" xfId="44" applyNumberFormat="1" applyFont="1" applyFill="1" applyBorder="1" applyAlignment="1" applyProtection="1">
      <alignment/>
      <protection/>
    </xf>
    <xf numFmtId="0" fontId="4" fillId="33" borderId="38" xfId="59" applyFont="1" applyFill="1" applyBorder="1">
      <alignment/>
      <protection/>
    </xf>
    <xf numFmtId="0" fontId="4" fillId="33" borderId="28" xfId="59" applyFont="1" applyFill="1" applyBorder="1">
      <alignment/>
      <protection/>
    </xf>
    <xf numFmtId="0" fontId="0" fillId="0" borderId="27" xfId="0" applyBorder="1" applyAlignment="1">
      <alignment/>
    </xf>
    <xf numFmtId="174" fontId="0" fillId="0" borderId="27" xfId="44" applyNumberFormat="1" applyFont="1" applyBorder="1" applyAlignment="1" applyProtection="1">
      <alignment/>
      <protection/>
    </xf>
    <xf numFmtId="174" fontId="0" fillId="0" borderId="39" xfId="44" applyNumberFormat="1" applyFont="1" applyBorder="1" applyAlignment="1" applyProtection="1">
      <alignment/>
      <protection/>
    </xf>
    <xf numFmtId="0" fontId="4" fillId="0" borderId="10" xfId="59" applyFont="1" applyBorder="1" applyAlignment="1">
      <alignment vertical="center"/>
      <protection/>
    </xf>
    <xf numFmtId="0" fontId="0" fillId="0" borderId="0" xfId="59" applyFont="1" applyBorder="1">
      <alignment/>
      <protection/>
    </xf>
    <xf numFmtId="178" fontId="0" fillId="0" borderId="0" xfId="44" applyNumberFormat="1" applyFont="1" applyBorder="1" applyAlignment="1" applyProtection="1">
      <alignment/>
      <protection/>
    </xf>
    <xf numFmtId="0" fontId="4" fillId="33" borderId="0" xfId="59" applyFont="1" applyFill="1" applyBorder="1">
      <alignment/>
      <protection/>
    </xf>
    <xf numFmtId="179" fontId="4" fillId="33" borderId="0" xfId="58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174" fontId="4" fillId="33" borderId="0" xfId="44" applyNumberFormat="1" applyFont="1" applyFill="1" applyBorder="1" applyAlignment="1" applyProtection="1">
      <alignment/>
      <protection/>
    </xf>
    <xf numFmtId="0" fontId="0" fillId="33" borderId="0" xfId="59" applyFont="1" applyFill="1" applyBorder="1">
      <alignment/>
      <protection/>
    </xf>
    <xf numFmtId="179" fontId="0" fillId="33" borderId="0" xfId="58" applyNumberFormat="1" applyFont="1" applyFill="1" applyBorder="1" applyAlignment="1" applyProtection="1">
      <alignment/>
      <protection/>
    </xf>
    <xf numFmtId="174" fontId="0" fillId="33" borderId="0" xfId="44" applyNumberFormat="1" applyFont="1" applyFill="1" applyBorder="1" applyAlignment="1" applyProtection="1">
      <alignment/>
      <protection/>
    </xf>
    <xf numFmtId="0" fontId="0" fillId="0" borderId="10" xfId="59" applyFont="1" applyBorder="1">
      <alignment/>
      <protection/>
    </xf>
    <xf numFmtId="0" fontId="4" fillId="0" borderId="0" xfId="59" applyFont="1" applyBorder="1" applyAlignment="1">
      <alignment horizontal="right"/>
      <protection/>
    </xf>
    <xf numFmtId="174" fontId="4" fillId="34" borderId="36" xfId="44" applyNumberFormat="1" applyFont="1" applyFill="1" applyBorder="1" applyAlignment="1" applyProtection="1">
      <alignment/>
      <protection/>
    </xf>
    <xf numFmtId="0" fontId="4" fillId="0" borderId="10" xfId="59" applyFont="1" applyBorder="1">
      <alignment/>
      <protection/>
    </xf>
    <xf numFmtId="10" fontId="0" fillId="0" borderId="0" xfId="0" applyNumberFormat="1" applyBorder="1" applyAlignment="1">
      <alignment/>
    </xf>
    <xf numFmtId="0" fontId="0" fillId="33" borderId="27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11" fillId="0" borderId="0" xfId="59" applyFont="1" applyBorder="1">
      <alignment/>
      <protection/>
    </xf>
    <xf numFmtId="9" fontId="0" fillId="33" borderId="0" xfId="58" applyFont="1" applyFill="1" applyBorder="1" applyAlignment="1" applyProtection="1">
      <alignment/>
      <protection/>
    </xf>
    <xf numFmtId="9" fontId="0" fillId="33" borderId="0" xfId="0" applyNumberFormat="1" applyFill="1" applyBorder="1" applyAlignment="1">
      <alignment/>
    </xf>
    <xf numFmtId="0" fontId="0" fillId="0" borderId="40" xfId="59" applyFont="1" applyBorder="1">
      <alignment/>
      <protection/>
    </xf>
    <xf numFmtId="0" fontId="4" fillId="0" borderId="15" xfId="59" applyFont="1" applyBorder="1" applyAlignment="1">
      <alignment horizontal="right"/>
      <protection/>
    </xf>
    <xf numFmtId="0" fontId="4" fillId="0" borderId="31" xfId="59" applyFont="1" applyBorder="1">
      <alignment/>
      <protection/>
    </xf>
    <xf numFmtId="174" fontId="0" fillId="0" borderId="31" xfId="44" applyNumberFormat="1" applyFont="1" applyBorder="1" applyAlignment="1" applyProtection="1">
      <alignment/>
      <protection/>
    </xf>
    <xf numFmtId="174" fontId="0" fillId="0" borderId="41" xfId="44" applyNumberFormat="1" applyFont="1" applyBorder="1" applyAlignment="1" applyProtection="1">
      <alignment/>
      <protection/>
    </xf>
    <xf numFmtId="0" fontId="4" fillId="0" borderId="42" xfId="59" applyFont="1" applyBorder="1">
      <alignment/>
      <protection/>
    </xf>
    <xf numFmtId="0" fontId="4" fillId="0" borderId="43" xfId="59" applyFont="1" applyBorder="1">
      <alignment/>
      <protection/>
    </xf>
    <xf numFmtId="0" fontId="0" fillId="0" borderId="43" xfId="0" applyBorder="1" applyAlignment="1">
      <alignment/>
    </xf>
    <xf numFmtId="174" fontId="0" fillId="0" borderId="43" xfId="44" applyNumberFormat="1" applyFont="1" applyBorder="1" applyAlignment="1" applyProtection="1">
      <alignment/>
      <protection/>
    </xf>
    <xf numFmtId="174" fontId="0" fillId="0" borderId="44" xfId="44" applyNumberFormat="1" applyFont="1" applyBorder="1" applyAlignment="1" applyProtection="1">
      <alignment/>
      <protection/>
    </xf>
    <xf numFmtId="174" fontId="0" fillId="0" borderId="45" xfId="44" applyNumberFormat="1" applyFont="1" applyBorder="1" applyAlignment="1" applyProtection="1">
      <alignment/>
      <protection/>
    </xf>
    <xf numFmtId="10" fontId="0" fillId="0" borderId="0" xfId="58" applyNumberFormat="1" applyFont="1" applyBorder="1" applyAlignment="1" applyProtection="1">
      <alignment/>
      <protection/>
    </xf>
    <xf numFmtId="168" fontId="0" fillId="0" borderId="0" xfId="44" applyNumberFormat="1" applyFont="1" applyBorder="1" applyAlignment="1" applyProtection="1">
      <alignment/>
      <protection/>
    </xf>
    <xf numFmtId="0" fontId="12" fillId="0" borderId="10" xfId="52" applyFont="1" applyBorder="1" applyAlignment="1" applyProtection="1">
      <alignment/>
      <protection/>
    </xf>
    <xf numFmtId="0" fontId="4" fillId="0" borderId="0" xfId="59" applyFont="1" applyBorder="1">
      <alignment/>
      <protection/>
    </xf>
    <xf numFmtId="0" fontId="12" fillId="0" borderId="0" xfId="52" applyFont="1" applyBorder="1" applyAlignment="1" applyProtection="1">
      <alignment/>
      <protection/>
    </xf>
    <xf numFmtId="0" fontId="0" fillId="33" borderId="28" xfId="59" applyFont="1" applyFill="1" applyBorder="1">
      <alignment/>
      <protection/>
    </xf>
    <xf numFmtId="0" fontId="13" fillId="0" borderId="10" xfId="59" applyFont="1" applyBorder="1">
      <alignment/>
      <protection/>
    </xf>
    <xf numFmtId="0" fontId="4" fillId="0" borderId="46" xfId="59" applyFont="1" applyBorder="1">
      <alignment/>
      <protection/>
    </xf>
    <xf numFmtId="0" fontId="4" fillId="0" borderId="31" xfId="59" applyFont="1" applyBorder="1" applyAlignment="1">
      <alignment horizontal="right"/>
      <protection/>
    </xf>
    <xf numFmtId="0" fontId="4" fillId="33" borderId="47" xfId="59" applyFont="1" applyFill="1" applyBorder="1">
      <alignment/>
      <protection/>
    </xf>
    <xf numFmtId="0" fontId="4" fillId="33" borderId="48" xfId="59" applyFont="1" applyFill="1" applyBorder="1">
      <alignment/>
      <protection/>
    </xf>
    <xf numFmtId="0" fontId="0" fillId="0" borderId="49" xfId="0" applyBorder="1" applyAlignment="1">
      <alignment/>
    </xf>
    <xf numFmtId="174" fontId="0" fillId="0" borderId="49" xfId="44" applyNumberFormat="1" applyFont="1" applyBorder="1" applyAlignment="1" applyProtection="1">
      <alignment/>
      <protection/>
    </xf>
    <xf numFmtId="174" fontId="0" fillId="0" borderId="50" xfId="44" applyNumberFormat="1" applyFont="1" applyBorder="1" applyAlignment="1" applyProtection="1">
      <alignment/>
      <protection/>
    </xf>
    <xf numFmtId="0" fontId="0" fillId="0" borderId="46" xfId="59" applyFont="1" applyBorder="1">
      <alignment/>
      <protection/>
    </xf>
    <xf numFmtId="0" fontId="4" fillId="0" borderId="38" xfId="59" applyFont="1" applyBorder="1">
      <alignment/>
      <protection/>
    </xf>
    <xf numFmtId="0" fontId="4" fillId="0" borderId="27" xfId="59" applyFont="1" applyBorder="1">
      <alignment/>
      <protection/>
    </xf>
    <xf numFmtId="174" fontId="4" fillId="33" borderId="45" xfId="44" applyNumberFormat="1" applyFont="1" applyFill="1" applyBorder="1" applyAlignment="1" applyProtection="1">
      <alignment/>
      <protection/>
    </xf>
    <xf numFmtId="0" fontId="10" fillId="33" borderId="51" xfId="59" applyFont="1" applyFill="1" applyBorder="1" applyAlignment="1">
      <alignment horizontal="left"/>
      <protection/>
    </xf>
    <xf numFmtId="0" fontId="4" fillId="33" borderId="52" xfId="59" applyFont="1" applyFill="1" applyBorder="1">
      <alignment/>
      <protection/>
    </xf>
    <xf numFmtId="0" fontId="0" fillId="0" borderId="52" xfId="0" applyBorder="1" applyAlignment="1">
      <alignment/>
    </xf>
    <xf numFmtId="174" fontId="0" fillId="0" borderId="52" xfId="44" applyNumberFormat="1" applyFont="1" applyBorder="1" applyAlignment="1" applyProtection="1">
      <alignment/>
      <protection/>
    </xf>
    <xf numFmtId="174" fontId="10" fillId="34" borderId="53" xfId="44" applyNumberFormat="1" applyFont="1" applyFill="1" applyBorder="1" applyAlignment="1" applyProtection="1">
      <alignment/>
      <protection/>
    </xf>
    <xf numFmtId="0" fontId="15" fillId="35" borderId="0" xfId="0" applyFont="1" applyFill="1" applyBorder="1" applyAlignment="1">
      <alignment horizontal="left"/>
    </xf>
    <xf numFmtId="0" fontId="15" fillId="35" borderId="54" xfId="0" applyFont="1" applyFill="1" applyBorder="1" applyAlignment="1">
      <alignment horizontal="left"/>
    </xf>
    <xf numFmtId="0" fontId="15" fillId="35" borderId="54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7" fillId="35" borderId="55" xfId="0" applyFont="1" applyFill="1" applyBorder="1" applyAlignment="1">
      <alignment horizontal="left"/>
    </xf>
    <xf numFmtId="0" fontId="17" fillId="35" borderId="0" xfId="0" applyFont="1" applyFill="1" applyBorder="1" applyAlignment="1">
      <alignment horizontal="right"/>
    </xf>
    <xf numFmtId="167" fontId="15" fillId="33" borderId="56" xfId="44" applyNumberFormat="1" applyFont="1" applyFill="1" applyBorder="1" applyAlignment="1" applyProtection="1">
      <alignment horizontal="right"/>
      <protection locked="0"/>
    </xf>
    <xf numFmtId="172" fontId="15" fillId="33" borderId="56" xfId="44" applyFont="1" applyFill="1" applyBorder="1" applyAlignment="1" applyProtection="1">
      <alignment horizontal="right"/>
      <protection/>
    </xf>
    <xf numFmtId="172" fontId="15" fillId="35" borderId="0" xfId="44" applyFont="1" applyFill="1" applyBorder="1" applyAlignment="1" applyProtection="1">
      <alignment horizontal="right"/>
      <protection/>
    </xf>
    <xf numFmtId="185" fontId="15" fillId="33" borderId="57" xfId="0" applyNumberFormat="1" applyFont="1" applyFill="1" applyBorder="1" applyAlignment="1" applyProtection="1">
      <alignment horizontal="right"/>
      <protection locked="0"/>
    </xf>
    <xf numFmtId="186" fontId="15" fillId="33" borderId="57" xfId="0" applyNumberFormat="1" applyFont="1" applyFill="1" applyBorder="1" applyAlignment="1">
      <alignment horizontal="right"/>
    </xf>
    <xf numFmtId="186" fontId="15" fillId="35" borderId="0" xfId="0" applyNumberFormat="1" applyFont="1" applyFill="1" applyBorder="1" applyAlignment="1">
      <alignment horizontal="right"/>
    </xf>
    <xf numFmtId="186" fontId="15" fillId="33" borderId="57" xfId="0" applyNumberFormat="1" applyFont="1" applyFill="1" applyBorder="1" applyAlignment="1" applyProtection="1">
      <alignment horizontal="right"/>
      <protection locked="0"/>
    </xf>
    <xf numFmtId="14" fontId="15" fillId="33" borderId="57" xfId="0" applyNumberFormat="1" applyFont="1" applyFill="1" applyBorder="1" applyAlignment="1" applyProtection="1">
      <alignment horizontal="right"/>
      <protection locked="0"/>
    </xf>
    <xf numFmtId="0" fontId="17" fillId="35" borderId="58" xfId="0" applyFont="1" applyFill="1" applyBorder="1" applyAlignment="1">
      <alignment horizontal="left"/>
    </xf>
    <xf numFmtId="0" fontId="17" fillId="35" borderId="54" xfId="0" applyFont="1" applyFill="1" applyBorder="1" applyAlignment="1">
      <alignment horizontal="right"/>
    </xf>
    <xf numFmtId="172" fontId="15" fillId="33" borderId="57" xfId="44" applyFont="1" applyFill="1" applyBorder="1" applyAlignment="1" applyProtection="1">
      <alignment horizontal="right"/>
      <protection locked="0"/>
    </xf>
    <xf numFmtId="0" fontId="16" fillId="35" borderId="0" xfId="0" applyFont="1" applyFill="1" applyBorder="1" applyAlignment="1">
      <alignment horizontal="right"/>
    </xf>
    <xf numFmtId="0" fontId="15" fillId="35" borderId="0" xfId="0" applyFont="1" applyFill="1" applyAlignment="1">
      <alignment/>
    </xf>
    <xf numFmtId="0" fontId="15" fillId="35" borderId="59" xfId="0" applyFont="1" applyFill="1" applyBorder="1" applyAlignment="1" applyProtection="1">
      <alignment horizontal="left"/>
      <protection locked="0"/>
    </xf>
    <xf numFmtId="0" fontId="16" fillId="35" borderId="0" xfId="0" applyFont="1" applyFill="1" applyBorder="1" applyAlignment="1" applyProtection="1">
      <alignment horizontal="left" wrapText="1"/>
      <protection/>
    </xf>
    <xf numFmtId="0" fontId="16" fillId="35" borderId="0" xfId="0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 wrapText="1"/>
    </xf>
    <xf numFmtId="0" fontId="0" fillId="35" borderId="54" xfId="0" applyFill="1" applyBorder="1" applyAlignment="1">
      <alignment horizontal="left"/>
    </xf>
    <xf numFmtId="0" fontId="4" fillId="35" borderId="54" xfId="0" applyFont="1" applyFill="1" applyBorder="1" applyAlignment="1" applyProtection="1">
      <alignment horizontal="left" wrapText="1" indent="6"/>
      <protection/>
    </xf>
    <xf numFmtId="0" fontId="4" fillId="35" borderId="54" xfId="0" applyFont="1" applyFill="1" applyBorder="1" applyAlignment="1" applyProtection="1">
      <alignment horizontal="left" wrapText="1" indent="9"/>
      <protection/>
    </xf>
    <xf numFmtId="0" fontId="18" fillId="35" borderId="0" xfId="0" applyFont="1" applyFill="1" applyBorder="1" applyAlignment="1">
      <alignment horizontal="left"/>
    </xf>
    <xf numFmtId="14" fontId="18" fillId="35" borderId="0" xfId="0" applyNumberFormat="1" applyFont="1" applyFill="1" applyBorder="1" applyAlignment="1">
      <alignment horizontal="right"/>
    </xf>
    <xf numFmtId="172" fontId="18" fillId="35" borderId="0" xfId="44" applyFont="1" applyFill="1" applyBorder="1" applyAlignment="1" applyProtection="1">
      <alignment horizontal="right"/>
      <protection/>
    </xf>
    <xf numFmtId="39" fontId="18" fillId="35" borderId="0" xfId="44" applyNumberFormat="1" applyFont="1" applyFill="1" applyBorder="1" applyAlignment="1" applyProtection="1">
      <alignment horizontal="right"/>
      <protection/>
    </xf>
    <xf numFmtId="175" fontId="18" fillId="35" borderId="0" xfId="44" applyNumberFormat="1" applyFont="1" applyFill="1" applyBorder="1" applyAlignment="1" applyProtection="1">
      <alignment horizontal="right"/>
      <protection/>
    </xf>
    <xf numFmtId="37" fontId="0" fillId="33" borderId="19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181" fontId="4" fillId="0" borderId="19" xfId="0" applyNumberFormat="1" applyFont="1" applyBorder="1" applyAlignment="1">
      <alignment/>
    </xf>
    <xf numFmtId="179" fontId="0" fillId="33" borderId="19" xfId="0" applyNumberFormat="1" applyFill="1" applyBorder="1" applyAlignment="1">
      <alignment/>
    </xf>
    <xf numFmtId="183" fontId="0" fillId="33" borderId="26" xfId="0" applyNumberForma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181" fontId="4" fillId="0" borderId="60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179" fontId="4" fillId="0" borderId="60" xfId="0" applyNumberFormat="1" applyFont="1" applyFill="1" applyBorder="1" applyAlignment="1">
      <alignment/>
    </xf>
    <xf numFmtId="37" fontId="0" fillId="0" borderId="60" xfId="0" applyNumberFormat="1" applyFill="1" applyBorder="1" applyAlignment="1">
      <alignment/>
    </xf>
    <xf numFmtId="179" fontId="0" fillId="0" borderId="60" xfId="0" applyNumberFormat="1" applyFill="1" applyBorder="1" applyAlignment="1">
      <alignment/>
    </xf>
    <xf numFmtId="183" fontId="0" fillId="0" borderId="60" xfId="0" applyNumberFormat="1" applyFill="1" applyBorder="1" applyAlignment="1">
      <alignment/>
    </xf>
    <xf numFmtId="168" fontId="4" fillId="0" borderId="60" xfId="0" applyNumberFormat="1" applyFont="1" applyFill="1" applyBorder="1" applyAlignment="1">
      <alignment/>
    </xf>
    <xf numFmtId="179" fontId="0" fillId="0" borderId="60" xfId="58" applyNumberFormat="1" applyFont="1" applyFill="1" applyBorder="1" applyAlignment="1" applyProtection="1">
      <alignment/>
      <protection/>
    </xf>
    <xf numFmtId="179" fontId="0" fillId="0" borderId="0" xfId="58" applyNumberFormat="1">
      <alignment/>
      <protection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172" fontId="4" fillId="33" borderId="62" xfId="44" applyFont="1" applyFill="1" applyBorder="1" applyAlignment="1" applyProtection="1">
      <alignment horizontal="right"/>
      <protection/>
    </xf>
    <xf numFmtId="0" fontId="4" fillId="33" borderId="62" xfId="0" applyFont="1" applyFill="1" applyBorder="1" applyAlignment="1">
      <alignment horizontal="right"/>
    </xf>
    <xf numFmtId="174" fontId="4" fillId="34" borderId="63" xfId="44" applyNumberFormat="1" applyFont="1" applyFill="1" applyBorder="1" applyAlignment="1" applyProtection="1">
      <alignment horizontal="right"/>
      <protection/>
    </xf>
    <xf numFmtId="0" fontId="0" fillId="0" borderId="64" xfId="0" applyBorder="1" applyAlignment="1">
      <alignment/>
    </xf>
    <xf numFmtId="37" fontId="0" fillId="0" borderId="65" xfId="0" applyNumberFormat="1" applyBorder="1" applyAlignment="1">
      <alignment/>
    </xf>
    <xf numFmtId="179" fontId="0" fillId="0" borderId="66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0" fontId="7" fillId="33" borderId="67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174" fontId="4" fillId="0" borderId="18" xfId="44" applyNumberFormat="1" applyFont="1" applyBorder="1" applyAlignment="1" applyProtection="1">
      <alignment/>
      <protection/>
    </xf>
    <xf numFmtId="0" fontId="1" fillId="0" borderId="69" xfId="0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69" xfId="59" applyFont="1" applyBorder="1" applyAlignment="1">
      <alignment horizontal="center" wrapText="1"/>
      <protection/>
    </xf>
    <xf numFmtId="184" fontId="4" fillId="0" borderId="37" xfId="0" applyNumberFormat="1" applyFont="1" applyBorder="1" applyAlignment="1">
      <alignment horizontal="center" wrapText="1"/>
    </xf>
    <xf numFmtId="0" fontId="14" fillId="35" borderId="0" xfId="0" applyFont="1" applyFill="1" applyBorder="1" applyAlignment="1">
      <alignment horizontal="left"/>
    </xf>
    <xf numFmtId="0" fontId="16" fillId="35" borderId="57" xfId="0" applyFont="1" applyFill="1" applyBorder="1" applyAlignment="1">
      <alignment horizontal="right"/>
    </xf>
    <xf numFmtId="0" fontId="15" fillId="35" borderId="70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landtransportation.org/SystemDevelopmentCharge/Rates.htm" TargetMode="External" /><Relationship Id="rId2" Type="http://schemas.openxmlformats.org/officeDocument/2006/relationships/hyperlink" Target="http://www.portlandparks.org/Planning/SystemDevCharg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windowProtection="1" tabSelected="1" zoomScale="80" zoomScaleNormal="80" workbookViewId="0" topLeftCell="A1">
      <selection activeCell="A1" sqref="A1:I1"/>
    </sheetView>
  </sheetViews>
  <sheetFormatPr defaultColWidth="8.7109375" defaultRowHeight="12.75"/>
  <cols>
    <col min="1" max="1" width="33.00390625" style="0" customWidth="1"/>
    <col min="2" max="2" width="6.00390625" style="0" customWidth="1"/>
    <col min="3" max="3" width="12.421875" style="0" customWidth="1"/>
    <col min="4" max="4" width="12.7109375" style="0" customWidth="1"/>
    <col min="5" max="5" width="12.421875" style="0" customWidth="1"/>
    <col min="6" max="6" width="16.7109375" style="0" customWidth="1"/>
    <col min="7" max="7" width="31.140625" style="0" customWidth="1"/>
    <col min="8" max="8" width="11.8515625" style="0" customWidth="1"/>
    <col min="9" max="9" width="14.421875" style="0" customWidth="1"/>
    <col min="10" max="18" width="11.7109375" style="0" customWidth="1"/>
  </cols>
  <sheetData>
    <row r="1" spans="1:9" ht="23.25" customHeight="1">
      <c r="A1" s="365" t="s">
        <v>275</v>
      </c>
      <c r="B1" s="365"/>
      <c r="C1" s="365"/>
      <c r="D1" s="365"/>
      <c r="E1" s="365"/>
      <c r="F1" s="365"/>
      <c r="G1" s="365"/>
      <c r="H1" s="365"/>
      <c r="I1" s="365"/>
    </row>
    <row r="2" spans="1:9" ht="12.75" customHeight="1">
      <c r="A2" s="1"/>
      <c r="B2" s="2"/>
      <c r="C2" s="2"/>
      <c r="D2" s="2"/>
      <c r="E2" s="2"/>
      <c r="F2" s="2"/>
      <c r="G2" s="2"/>
      <c r="H2" s="2"/>
      <c r="I2" s="3"/>
    </row>
    <row r="3" spans="1:9" ht="12.75" customHeight="1">
      <c r="A3" s="366">
        <v>42199</v>
      </c>
      <c r="B3" s="366"/>
      <c r="C3" s="366"/>
      <c r="D3" s="366"/>
      <c r="E3" s="366"/>
      <c r="F3" s="366"/>
      <c r="G3" s="366"/>
      <c r="H3" s="366"/>
      <c r="I3" s="366"/>
    </row>
    <row r="4" ht="4.5" customHeight="1"/>
    <row r="5" spans="1:19" ht="12.75">
      <c r="A5" s="367" t="s">
        <v>0</v>
      </c>
      <c r="B5" s="367"/>
      <c r="C5" s="367"/>
      <c r="D5" s="367"/>
      <c r="E5" s="367"/>
      <c r="G5" s="367" t="s">
        <v>1</v>
      </c>
      <c r="H5" s="367"/>
      <c r="I5" s="367"/>
      <c r="L5" s="368"/>
      <c r="M5" s="368"/>
      <c r="N5" s="368"/>
      <c r="O5" s="4"/>
      <c r="P5" s="4"/>
      <c r="Q5" s="4"/>
      <c r="R5" s="4"/>
      <c r="S5" s="4"/>
    </row>
    <row r="6" spans="1:19" ht="15.75">
      <c r="A6" s="5" t="s">
        <v>2</v>
      </c>
      <c r="B6" s="6"/>
      <c r="C6" s="7"/>
      <c r="D6" s="7"/>
      <c r="E6" s="8">
        <f>9598+8800</f>
        <v>18398</v>
      </c>
      <c r="G6" s="5" t="s">
        <v>3</v>
      </c>
      <c r="H6" s="6"/>
      <c r="I6" s="9">
        <v>0.05</v>
      </c>
      <c r="L6" s="10"/>
      <c r="M6" s="4"/>
      <c r="N6" s="11"/>
      <c r="O6" s="4"/>
      <c r="P6" s="12"/>
      <c r="Q6" s="4"/>
      <c r="R6" s="4"/>
      <c r="S6" s="4"/>
    </row>
    <row r="7" spans="1:19" ht="12.75">
      <c r="A7" s="13" t="s">
        <v>4</v>
      </c>
      <c r="B7" s="13"/>
      <c r="C7" s="14"/>
      <c r="D7" s="14"/>
      <c r="E7" s="15">
        <v>1</v>
      </c>
      <c r="G7" s="16" t="s">
        <v>5</v>
      </c>
      <c r="H7" s="4"/>
      <c r="I7" s="17">
        <v>60</v>
      </c>
      <c r="J7" s="18" t="s">
        <v>6</v>
      </c>
      <c r="L7" s="10"/>
      <c r="M7" s="4"/>
      <c r="N7" s="11"/>
      <c r="O7" s="4"/>
      <c r="P7" s="369"/>
      <c r="Q7" s="369"/>
      <c r="R7" s="369"/>
      <c r="S7" s="369"/>
    </row>
    <row r="8" spans="1:19" ht="12.75">
      <c r="A8" s="5" t="s">
        <v>264</v>
      </c>
      <c r="B8" s="19">
        <f>B23</f>
        <v>22</v>
      </c>
      <c r="C8" s="20" t="s">
        <v>7</v>
      </c>
      <c r="D8" s="21">
        <f>E8*B8/12</f>
        <v>11550</v>
      </c>
      <c r="E8" s="22">
        <v>6300</v>
      </c>
      <c r="G8" s="23" t="s">
        <v>8</v>
      </c>
      <c r="H8" s="24"/>
      <c r="I8" s="25">
        <v>500000</v>
      </c>
      <c r="J8" s="26"/>
      <c r="L8" s="10"/>
      <c r="M8" s="4"/>
      <c r="N8" s="27"/>
      <c r="O8" s="4"/>
      <c r="P8" s="369"/>
      <c r="Q8" s="369"/>
      <c r="R8" s="369"/>
      <c r="S8" s="369"/>
    </row>
    <row r="9" spans="1:19" ht="12.75">
      <c r="A9" s="35" t="s">
        <v>259</v>
      </c>
      <c r="B9" s="28">
        <f>B24</f>
        <v>24</v>
      </c>
      <c r="C9" s="29" t="s">
        <v>7</v>
      </c>
      <c r="D9" s="21">
        <f>E9*B9/12</f>
        <v>5400</v>
      </c>
      <c r="E9" s="22">
        <v>2700</v>
      </c>
      <c r="G9" s="23" t="s">
        <v>9</v>
      </c>
      <c r="H9" s="4"/>
      <c r="I9" s="30">
        <f>I19</f>
        <v>2613685.714285714</v>
      </c>
      <c r="L9" s="10"/>
      <c r="M9" s="4"/>
      <c r="N9" s="27"/>
      <c r="O9" s="4"/>
      <c r="P9" s="369"/>
      <c r="Q9" s="369"/>
      <c r="R9" s="369"/>
      <c r="S9" s="369"/>
    </row>
    <row r="10" spans="1:19" ht="12.75">
      <c r="A10" s="16"/>
      <c r="B10" s="31"/>
      <c r="C10" s="32"/>
      <c r="D10" s="21"/>
      <c r="E10" s="22"/>
      <c r="G10" s="23" t="s">
        <v>10</v>
      </c>
      <c r="H10" s="4"/>
      <c r="I10" s="33">
        <f>I8/E50</f>
        <v>0.20708988186054758</v>
      </c>
      <c r="L10" s="10"/>
      <c r="M10" s="4"/>
      <c r="N10" s="34"/>
      <c r="O10" s="4"/>
      <c r="P10" s="369"/>
      <c r="Q10" s="369"/>
      <c r="R10" s="369"/>
      <c r="S10" s="369"/>
    </row>
    <row r="11" spans="1:19" ht="12.75">
      <c r="A11" s="35"/>
      <c r="B11" s="36"/>
      <c r="C11" s="37"/>
      <c r="D11" s="21"/>
      <c r="E11" s="22"/>
      <c r="G11" s="23" t="s">
        <v>11</v>
      </c>
      <c r="H11" s="4"/>
      <c r="I11" s="33">
        <f>(I15-I29)/I19</f>
        <v>0.6886826484766996</v>
      </c>
      <c r="L11" s="10"/>
      <c r="M11" s="4"/>
      <c r="N11" s="10"/>
      <c r="O11" s="4"/>
      <c r="P11" s="369"/>
      <c r="Q11" s="369"/>
      <c r="R11" s="369"/>
      <c r="S11" s="369"/>
    </row>
    <row r="12" spans="1:19" ht="12" customHeight="1">
      <c r="A12" s="16"/>
      <c r="B12" s="36"/>
      <c r="C12" s="32"/>
      <c r="D12" s="21"/>
      <c r="E12" s="22"/>
      <c r="G12" s="38" t="s">
        <v>12</v>
      </c>
      <c r="H12" s="39"/>
      <c r="I12" s="40">
        <v>40500</v>
      </c>
      <c r="J12" t="s">
        <v>13</v>
      </c>
      <c r="M12" s="4"/>
      <c r="N12" s="41"/>
      <c r="O12" s="4"/>
      <c r="P12" s="12"/>
      <c r="Q12" s="4"/>
      <c r="R12" s="4"/>
      <c r="S12" s="4"/>
    </row>
    <row r="13" spans="1:19" ht="12.75">
      <c r="A13" s="35" t="s">
        <v>14</v>
      </c>
      <c r="B13" s="31"/>
      <c r="C13" s="42" t="s">
        <v>15</v>
      </c>
      <c r="D13" s="21"/>
      <c r="E13" s="22"/>
      <c r="G13" s="367" t="s">
        <v>16</v>
      </c>
      <c r="H13" s="367"/>
      <c r="I13" s="367"/>
      <c r="R13" s="4"/>
      <c r="S13" s="4"/>
    </row>
    <row r="14" spans="1:19" ht="12.75">
      <c r="A14" s="16"/>
      <c r="B14" s="31"/>
      <c r="C14" s="18"/>
      <c r="D14" s="21"/>
      <c r="E14" s="22"/>
      <c r="G14" s="16"/>
      <c r="H14" s="43" t="s">
        <v>17</v>
      </c>
      <c r="I14" s="44" t="s">
        <v>18</v>
      </c>
      <c r="K14" s="45" t="s">
        <v>19</v>
      </c>
      <c r="R14" s="4"/>
      <c r="S14" s="4"/>
    </row>
    <row r="15" spans="1:19" ht="12.75">
      <c r="A15" s="16"/>
      <c r="B15" s="28"/>
      <c r="C15" s="18"/>
      <c r="D15" s="21"/>
      <c r="E15" s="22"/>
      <c r="G15" s="23" t="s">
        <v>20</v>
      </c>
      <c r="H15" s="46">
        <f>-I32</f>
        <v>1300000</v>
      </c>
      <c r="I15" s="47">
        <f>H15</f>
        <v>1300000</v>
      </c>
      <c r="K15" s="48">
        <f>K19*K20</f>
        <v>1456582.9242522856</v>
      </c>
      <c r="R15" s="4"/>
      <c r="S15" s="4"/>
    </row>
    <row r="16" spans="1:19" ht="12.75">
      <c r="A16" s="49" t="s">
        <v>21</v>
      </c>
      <c r="B16" s="4">
        <v>7</v>
      </c>
      <c r="C16" s="29" t="s">
        <v>22</v>
      </c>
      <c r="D16" s="50"/>
      <c r="E16" s="22">
        <f>E6-E8-E17-E9-E10-E11-E12-E13-E15</f>
        <v>5382</v>
      </c>
      <c r="G16" s="16" t="s">
        <v>3</v>
      </c>
      <c r="H16" s="51">
        <v>0.06</v>
      </c>
      <c r="I16" s="52">
        <f>H16</f>
        <v>0.06</v>
      </c>
      <c r="K16" s="53">
        <v>0.065</v>
      </c>
      <c r="R16" s="4"/>
      <c r="S16" s="4"/>
    </row>
    <row r="17" spans="1:11" ht="12.75">
      <c r="A17" s="16" t="s">
        <v>23</v>
      </c>
      <c r="B17" s="4"/>
      <c r="C17" s="54"/>
      <c r="D17" s="50"/>
      <c r="E17" s="22">
        <v>4016</v>
      </c>
      <c r="G17" s="16" t="s">
        <v>24</v>
      </c>
      <c r="H17" s="18">
        <f>265/12</f>
        <v>22.083333333333332</v>
      </c>
      <c r="I17" s="17">
        <f>H17</f>
        <v>22.083333333333332</v>
      </c>
      <c r="K17" s="55">
        <v>25</v>
      </c>
    </row>
    <row r="18" spans="1:11" ht="12" customHeight="1">
      <c r="A18" s="56" t="s">
        <v>25</v>
      </c>
      <c r="B18" s="4">
        <v>0</v>
      </c>
      <c r="C18" s="54"/>
      <c r="D18" s="4"/>
      <c r="E18" s="22"/>
      <c r="G18" s="16" t="s">
        <v>26</v>
      </c>
      <c r="H18" s="57"/>
      <c r="I18" s="17"/>
      <c r="K18" s="58">
        <f>K22/-K25</f>
        <v>1.687584779565737</v>
      </c>
    </row>
    <row r="19" spans="1:23" ht="12.75">
      <c r="A19" s="59" t="s">
        <v>27</v>
      </c>
      <c r="B19" s="13">
        <v>3</v>
      </c>
      <c r="C19" s="13"/>
      <c r="D19" s="13"/>
      <c r="E19" s="60"/>
      <c r="G19" s="16" t="s">
        <v>9</v>
      </c>
      <c r="I19" s="61">
        <f>I22/I23</f>
        <v>2613685.714285714</v>
      </c>
      <c r="K19" s="62">
        <f>L98</f>
        <v>2856044.9495142857</v>
      </c>
      <c r="V19" s="63"/>
      <c r="W19" s="63"/>
    </row>
    <row r="20" spans="1:23" ht="12.75">
      <c r="A20" s="64" t="s">
        <v>28</v>
      </c>
      <c r="B20" s="64"/>
      <c r="C20" s="4" t="s">
        <v>29</v>
      </c>
      <c r="D20" s="4"/>
      <c r="E20" s="22">
        <v>9260</v>
      </c>
      <c r="F20" s="21"/>
      <c r="G20" s="16" t="s">
        <v>30</v>
      </c>
      <c r="I20" s="65">
        <f>(H15-I29)/I19</f>
        <v>0.6886826484766996</v>
      </c>
      <c r="J20" s="18"/>
      <c r="K20" s="66">
        <v>0.51</v>
      </c>
      <c r="V20" s="24"/>
      <c r="W20" s="4"/>
    </row>
    <row r="21" spans="1:23" ht="12.75">
      <c r="A21" s="56" t="s">
        <v>31</v>
      </c>
      <c r="B21" s="64"/>
      <c r="C21" s="64"/>
      <c r="D21" s="64"/>
      <c r="E21" s="22">
        <f>SUM(E8:E15)</f>
        <v>9000</v>
      </c>
      <c r="G21" s="16" t="s">
        <v>32</v>
      </c>
      <c r="I21" s="67">
        <f>I19/E21</f>
        <v>290.40952380952376</v>
      </c>
      <c r="J21" s="68"/>
      <c r="K21" s="69"/>
      <c r="V21" s="4"/>
      <c r="W21" s="4"/>
    </row>
    <row r="22" spans="1:23" ht="13.5" customHeight="1">
      <c r="A22" s="70" t="s">
        <v>33</v>
      </c>
      <c r="B22" s="70"/>
      <c r="C22" s="13"/>
      <c r="D22" s="13"/>
      <c r="E22" s="71">
        <f>E21/E20</f>
        <v>0.9719222462203023</v>
      </c>
      <c r="G22" s="16" t="s">
        <v>34</v>
      </c>
      <c r="H22" s="72">
        <f>E74</f>
        <v>182958</v>
      </c>
      <c r="I22" s="47">
        <f>H22</f>
        <v>182958</v>
      </c>
      <c r="K22" s="48">
        <f>M92</f>
        <v>199167.78799998004</v>
      </c>
      <c r="V22" s="73"/>
      <c r="W22" s="73"/>
    </row>
    <row r="23" spans="1:23" ht="12.75">
      <c r="A23" s="74" t="s">
        <v>35</v>
      </c>
      <c r="B23" s="75">
        <v>22</v>
      </c>
      <c r="C23" s="76" t="s">
        <v>36</v>
      </c>
      <c r="D23" s="77"/>
      <c r="E23" s="78">
        <f>B23/12*E8</f>
        <v>11550</v>
      </c>
      <c r="G23" s="16" t="s">
        <v>37</v>
      </c>
      <c r="I23" s="79">
        <v>0.07</v>
      </c>
      <c r="K23" s="80"/>
      <c r="V23" s="81"/>
      <c r="W23" s="81"/>
    </row>
    <row r="24" spans="1:23" ht="12.75">
      <c r="A24" s="74" t="s">
        <v>38</v>
      </c>
      <c r="B24" s="75">
        <v>24</v>
      </c>
      <c r="C24" s="76"/>
      <c r="D24" s="77"/>
      <c r="E24" s="78">
        <f>(D9+D10+D11)/3</f>
        <v>1800</v>
      </c>
      <c r="G24" s="23" t="s">
        <v>39</v>
      </c>
      <c r="H24" s="72">
        <f>MIN(H15,I15)</f>
        <v>1300000</v>
      </c>
      <c r="I24" s="82"/>
      <c r="V24" s="83"/>
      <c r="W24" s="83"/>
    </row>
    <row r="25" spans="1:23" ht="12.75">
      <c r="A25" s="74" t="s">
        <v>40</v>
      </c>
      <c r="B25" s="84"/>
      <c r="C25" s="76"/>
      <c r="D25" s="85">
        <v>500</v>
      </c>
      <c r="E25" s="86" t="s">
        <v>41</v>
      </c>
      <c r="G25" s="38" t="s">
        <v>42</v>
      </c>
      <c r="H25" s="87">
        <f>PMT(H16/12,H17*12,H24,0)*12</f>
        <v>-106365.85423484273</v>
      </c>
      <c r="I25" s="40"/>
      <c r="K25" s="88">
        <f>PMT(K16/12,K17*12,K15,0)*12</f>
        <v>-118019.42658621956</v>
      </c>
      <c r="V25" s="83"/>
      <c r="W25" s="83"/>
    </row>
    <row r="26" spans="1:23" ht="12.75">
      <c r="A26" s="74"/>
      <c r="B26" s="84"/>
      <c r="C26" s="76"/>
      <c r="D26" s="76"/>
      <c r="E26" s="78"/>
      <c r="V26" s="83"/>
      <c r="W26" s="83"/>
    </row>
    <row r="27" spans="1:23" ht="12.75">
      <c r="A27" s="74" t="s">
        <v>43</v>
      </c>
      <c r="B27" s="84"/>
      <c r="C27" s="89">
        <v>0</v>
      </c>
      <c r="D27" s="89"/>
      <c r="E27" s="90">
        <f>B16</f>
        <v>7</v>
      </c>
      <c r="G27" s="367" t="s">
        <v>44</v>
      </c>
      <c r="H27" s="367"/>
      <c r="I27" s="367"/>
      <c r="V27" s="83"/>
      <c r="W27" s="83"/>
    </row>
    <row r="28" spans="1:23" ht="12.75">
      <c r="A28" s="74" t="s">
        <v>45</v>
      </c>
      <c r="B28" s="84"/>
      <c r="C28" s="91">
        <v>0</v>
      </c>
      <c r="D28" s="76" t="s">
        <v>46</v>
      </c>
      <c r="E28" s="92">
        <f>C28*E27</f>
        <v>0</v>
      </c>
      <c r="G28" s="5" t="s">
        <v>47</v>
      </c>
      <c r="H28" s="6"/>
      <c r="I28" s="93">
        <f>E50</f>
        <v>2414410.5714285714</v>
      </c>
      <c r="V28" s="83"/>
      <c r="W28" s="83"/>
    </row>
    <row r="29" spans="1:23" ht="12.75">
      <c r="A29" s="74" t="s">
        <v>48</v>
      </c>
      <c r="B29" s="94"/>
      <c r="C29" s="89"/>
      <c r="D29" s="89"/>
      <c r="E29" s="92">
        <v>0</v>
      </c>
      <c r="G29" s="16" t="s">
        <v>49</v>
      </c>
      <c r="H29" s="95"/>
      <c r="I29" s="96">
        <f>-I8</f>
        <v>-500000</v>
      </c>
      <c r="V29" s="83"/>
      <c r="W29" s="83"/>
    </row>
    <row r="30" spans="1:23" ht="12.75">
      <c r="A30" s="74" t="s">
        <v>50</v>
      </c>
      <c r="B30" s="94"/>
      <c r="C30" s="89"/>
      <c r="D30" s="89"/>
      <c r="E30" s="92">
        <v>0</v>
      </c>
      <c r="G30" s="16" t="s">
        <v>51</v>
      </c>
      <c r="H30" s="95">
        <f>I30/-E42</f>
        <v>0.5622471895672625</v>
      </c>
      <c r="I30" s="96">
        <v>-150000</v>
      </c>
      <c r="J30" s="97">
        <f>(E42+I30)/12</f>
        <v>9732.214285714284</v>
      </c>
      <c r="K30" s="18" t="s">
        <v>52</v>
      </c>
      <c r="V30" s="83"/>
      <c r="W30" s="83"/>
    </row>
    <row r="31" spans="1:23" ht="12.75">
      <c r="A31" s="74"/>
      <c r="B31" s="94"/>
      <c r="C31" s="89"/>
      <c r="D31" s="89"/>
      <c r="E31" s="78"/>
      <c r="G31" s="16" t="s">
        <v>53</v>
      </c>
      <c r="H31" s="95">
        <v>0</v>
      </c>
      <c r="I31" s="96">
        <f>H31*-'Soft Costs 2'!I99</f>
        <v>0</v>
      </c>
      <c r="V31" s="83"/>
      <c r="W31" s="83"/>
    </row>
    <row r="32" spans="1:23" ht="12.75">
      <c r="A32" s="98" t="s">
        <v>54</v>
      </c>
      <c r="B32" s="99"/>
      <c r="C32" s="100"/>
      <c r="D32" s="100"/>
      <c r="E32" s="101">
        <v>1400000</v>
      </c>
      <c r="G32" s="16" t="s">
        <v>55</v>
      </c>
      <c r="H32" s="95"/>
      <c r="I32" s="102">
        <v>-1300000</v>
      </c>
      <c r="J32" s="97">
        <f>-H25/12</f>
        <v>8863.821186236893</v>
      </c>
      <c r="K32" s="18" t="s">
        <v>56</v>
      </c>
      <c r="V32" s="83"/>
      <c r="W32" s="83"/>
    </row>
    <row r="33" spans="7:23" ht="12.75">
      <c r="G33" s="16" t="s">
        <v>57</v>
      </c>
      <c r="H33" s="95">
        <v>0</v>
      </c>
      <c r="I33" s="102">
        <f>-'Soft Costs 2'!I33*H33</f>
        <v>0</v>
      </c>
      <c r="J33" s="97"/>
      <c r="V33" s="83"/>
      <c r="W33" s="83"/>
    </row>
    <row r="34" spans="1:23" ht="12.75">
      <c r="A34" s="367" t="s">
        <v>58</v>
      </c>
      <c r="B34" s="367"/>
      <c r="C34" s="367"/>
      <c r="D34" s="367"/>
      <c r="E34" s="367"/>
      <c r="G34" s="35" t="s">
        <v>256</v>
      </c>
      <c r="H34" s="95"/>
      <c r="I34" s="102">
        <f>I28+I29+I30+I31+I32-I35</f>
        <v>-10589.428571428638</v>
      </c>
      <c r="V34" s="83"/>
      <c r="W34" s="83"/>
    </row>
    <row r="35" spans="1:23" ht="12.75">
      <c r="A35" s="103" t="s">
        <v>59</v>
      </c>
      <c r="B35" s="104"/>
      <c r="C35" s="105">
        <f>E35/E20</f>
        <v>151.1879049676026</v>
      </c>
      <c r="D35" s="105" t="s">
        <v>60</v>
      </c>
      <c r="E35" s="106">
        <f>E32</f>
        <v>1400000</v>
      </c>
      <c r="G35" s="16" t="s">
        <v>61</v>
      </c>
      <c r="H35" s="107"/>
      <c r="I35" s="108">
        <f>H52+H56+H60+H64+H68+H72+H76+H80+H84</f>
        <v>475000</v>
      </c>
      <c r="J35" s="109"/>
      <c r="V35" s="83"/>
      <c r="W35" s="83"/>
    </row>
    <row r="36" spans="1:23" ht="12.75">
      <c r="A36" s="23" t="s">
        <v>62</v>
      </c>
      <c r="B36" s="24"/>
      <c r="C36" s="110">
        <f>E36/E20</f>
        <v>53.446544276457885</v>
      </c>
      <c r="D36" s="110" t="s">
        <v>60</v>
      </c>
      <c r="E36" s="106">
        <v>494915</v>
      </c>
      <c r="G36" s="16" t="s">
        <v>63</v>
      </c>
      <c r="H36" s="4"/>
      <c r="I36" s="96">
        <f>E74</f>
        <v>182958</v>
      </c>
      <c r="V36" s="83"/>
      <c r="W36" s="83"/>
    </row>
    <row r="37" spans="1:23" ht="12.75">
      <c r="A37" s="23" t="s">
        <v>64</v>
      </c>
      <c r="B37" s="24"/>
      <c r="C37" s="110"/>
      <c r="D37" s="110"/>
      <c r="E37" s="106">
        <v>0</v>
      </c>
      <c r="F37" s="111"/>
      <c r="G37" s="16" t="s">
        <v>65</v>
      </c>
      <c r="H37" s="4"/>
      <c r="I37" s="96">
        <f>H25</f>
        <v>-106365.85423484273</v>
      </c>
      <c r="V37" s="112"/>
      <c r="W37" s="112"/>
    </row>
    <row r="38" spans="1:23" ht="12.75">
      <c r="A38" s="23"/>
      <c r="B38" s="24"/>
      <c r="C38" s="113"/>
      <c r="D38" s="113"/>
      <c r="E38" s="106"/>
      <c r="F38" s="114">
        <f aca="true" t="shared" si="0" ref="F38:F46">E39/$E$50</f>
        <v>0.008283595274421903</v>
      </c>
      <c r="G38" s="16"/>
      <c r="H38" s="95"/>
      <c r="I38" s="96"/>
      <c r="J38" s="18"/>
      <c r="V38" s="83"/>
      <c r="W38" s="83"/>
    </row>
    <row r="39" spans="1:23" ht="12.75">
      <c r="A39" s="23" t="s">
        <v>263</v>
      </c>
      <c r="B39" s="24"/>
      <c r="C39" s="113">
        <f>E39/(E36+E37)</f>
        <v>0.04041097966317449</v>
      </c>
      <c r="D39" s="113" t="s">
        <v>66</v>
      </c>
      <c r="E39" s="115">
        <f>'Soft Costs 2'!I17</f>
        <v>20000</v>
      </c>
      <c r="F39" s="114">
        <f t="shared" si="0"/>
        <v>0.007781609400791935</v>
      </c>
      <c r="G39" t="s">
        <v>49</v>
      </c>
      <c r="H39" s="116">
        <v>0.05</v>
      </c>
      <c r="I39" s="96">
        <f>-2531*12</f>
        <v>-30372</v>
      </c>
      <c r="J39" t="s">
        <v>67</v>
      </c>
      <c r="V39" s="83"/>
      <c r="W39" s="83"/>
    </row>
    <row r="40" spans="1:23" ht="12.75">
      <c r="A40" s="23" t="s">
        <v>68</v>
      </c>
      <c r="B40" s="24"/>
      <c r="C40" s="117">
        <f>E40/(E37+E36)</f>
        <v>0.03796207429558611</v>
      </c>
      <c r="D40" s="113" t="s">
        <v>66</v>
      </c>
      <c r="E40" s="115">
        <f>'Soft Costs 2'!K31</f>
        <v>18788</v>
      </c>
      <c r="F40" s="111">
        <f t="shared" si="0"/>
        <v>0.014160806121624243</v>
      </c>
      <c r="G40" s="118" t="s">
        <v>69</v>
      </c>
      <c r="H40" s="119"/>
      <c r="I40" s="120">
        <f>I36+I37+I38+I39</f>
        <v>46220.14576515727</v>
      </c>
      <c r="V40" s="83"/>
      <c r="W40" s="83"/>
    </row>
    <row r="41" spans="1:23" ht="12.75">
      <c r="A41" s="23" t="s">
        <v>70</v>
      </c>
      <c r="B41" s="24"/>
      <c r="C41" s="117">
        <f>E41/(E36+E37)</f>
        <v>0.06908256973419678</v>
      </c>
      <c r="D41" s="113" t="s">
        <v>66</v>
      </c>
      <c r="E41" s="115">
        <f>'Soft Costs 2'!K40</f>
        <v>34190</v>
      </c>
      <c r="F41" s="121">
        <f t="shared" si="0"/>
        <v>0.11049759911824679</v>
      </c>
      <c r="V41" s="83"/>
      <c r="W41" s="83"/>
    </row>
    <row r="42" spans="1:23" ht="12.75">
      <c r="A42" s="23" t="s">
        <v>71</v>
      </c>
      <c r="B42" s="24"/>
      <c r="C42" s="117">
        <f>E42/I19</f>
        <v>0.10207293477191487</v>
      </c>
      <c r="D42" s="113" t="s">
        <v>72</v>
      </c>
      <c r="E42" s="115">
        <f>'Soft Costs 2'!K49</f>
        <v>266786.5714285714</v>
      </c>
      <c r="F42" s="122">
        <f t="shared" si="0"/>
        <v>0.041898424898025984</v>
      </c>
      <c r="G42" s="123" t="s">
        <v>73</v>
      </c>
      <c r="H42" s="124"/>
      <c r="I42" s="125"/>
      <c r="J42" s="4"/>
      <c r="V42" s="126"/>
      <c r="W42" s="126"/>
    </row>
    <row r="43" spans="1:23" ht="12.75">
      <c r="A43" s="23" t="s">
        <v>74</v>
      </c>
      <c r="B43" s="24"/>
      <c r="C43" s="117">
        <f>E43/(E36+E37)</f>
        <v>0.20439873513633655</v>
      </c>
      <c r="D43" s="113" t="s">
        <v>66</v>
      </c>
      <c r="E43" s="115">
        <f>'Soft Costs 2'!K70</f>
        <v>101160</v>
      </c>
      <c r="F43" s="114">
        <f t="shared" si="0"/>
        <v>0.003313438109768761</v>
      </c>
      <c r="G43" s="127"/>
      <c r="H43" s="128" t="s">
        <v>75</v>
      </c>
      <c r="I43" s="129" t="s">
        <v>76</v>
      </c>
      <c r="J43" s="130"/>
      <c r="V43" s="131"/>
      <c r="W43" s="131"/>
    </row>
    <row r="44" spans="1:10" ht="12.75">
      <c r="A44" s="23" t="s">
        <v>77</v>
      </c>
      <c r="B44" s="24"/>
      <c r="C44" s="117">
        <f>E44/(E36+E37)</f>
        <v>0.016164391865269793</v>
      </c>
      <c r="D44" s="113" t="s">
        <v>66</v>
      </c>
      <c r="E44" s="115">
        <f>'Soft Costs 2'!K77</f>
        <v>8000</v>
      </c>
      <c r="F44" s="121">
        <f t="shared" si="0"/>
        <v>0.02715818128695593</v>
      </c>
      <c r="G44" s="132" t="s">
        <v>257</v>
      </c>
      <c r="H44" s="133">
        <f>-I30*0.9</f>
        <v>135000</v>
      </c>
      <c r="I44" s="134">
        <f>H44/-G104</f>
        <v>0.216</v>
      </c>
      <c r="J44" s="4"/>
    </row>
    <row r="45" spans="1:18" ht="12.75">
      <c r="A45" s="23" t="s">
        <v>78</v>
      </c>
      <c r="B45" s="24"/>
      <c r="C45" s="117">
        <f>E45/(E36+E37)</f>
        <v>0.1324894173747007</v>
      </c>
      <c r="D45" s="113" t="s">
        <v>66</v>
      </c>
      <c r="E45" s="115">
        <f>'Soft Costs 2'!K86</f>
        <v>65571</v>
      </c>
      <c r="F45" s="121">
        <f t="shared" si="0"/>
        <v>0</v>
      </c>
      <c r="G45" s="135"/>
      <c r="H45" s="136" t="s">
        <v>253</v>
      </c>
      <c r="I45" s="136" t="s">
        <v>79</v>
      </c>
      <c r="J45" s="136" t="s">
        <v>80</v>
      </c>
      <c r="K45" s="136" t="s">
        <v>81</v>
      </c>
      <c r="L45" s="136" t="s">
        <v>82</v>
      </c>
      <c r="M45" s="136" t="s">
        <v>19</v>
      </c>
      <c r="N45" s="136" t="s">
        <v>83</v>
      </c>
      <c r="O45" s="136" t="s">
        <v>84</v>
      </c>
      <c r="P45" s="136" t="s">
        <v>85</v>
      </c>
      <c r="Q45" s="361" t="s">
        <v>86</v>
      </c>
      <c r="R45" s="358"/>
    </row>
    <row r="46" spans="1:18" ht="12.75">
      <c r="A46" s="23" t="s">
        <v>87</v>
      </c>
      <c r="B46" s="24"/>
      <c r="C46" s="117">
        <f>E46/(E36+E37)</f>
        <v>0</v>
      </c>
      <c r="D46" s="113" t="s">
        <v>66</v>
      </c>
      <c r="E46" s="115">
        <f>'Soft Costs 2'!K92</f>
        <v>0</v>
      </c>
      <c r="F46" s="121">
        <f t="shared" si="0"/>
        <v>0</v>
      </c>
      <c r="G46" s="137" t="s">
        <v>88</v>
      </c>
      <c r="H46" s="138">
        <v>0</v>
      </c>
      <c r="I46" s="138">
        <f>I47/H44</f>
        <v>0.014800971767715141</v>
      </c>
      <c r="J46" s="161">
        <f>J47/H44</f>
        <v>0.050192571767715084</v>
      </c>
      <c r="K46" s="161">
        <f>K47/H44</f>
        <v>0.08159502074425157</v>
      </c>
      <c r="L46" s="161">
        <f>L47/H44</f>
        <v>0.09060628836985159</v>
      </c>
      <c r="M46" s="161">
        <f>M47/H44</f>
        <v>0.12983737826201674</v>
      </c>
      <c r="N46" s="162">
        <f>N47/H44</f>
        <v>0.1393974320860158</v>
      </c>
      <c r="O46" s="161">
        <f>O47/H44</f>
        <v>0.1492442875247348</v>
      </c>
      <c r="P46" s="161">
        <f>P47/H44</f>
        <v>0.15938654862661536</v>
      </c>
      <c r="Q46" s="161">
        <f>Q47/H44</f>
        <v>4.128614657008922</v>
      </c>
      <c r="R46" s="359"/>
    </row>
    <row r="47" spans="1:18" ht="13.5" thickBot="1">
      <c r="A47" s="139" t="s">
        <v>89</v>
      </c>
      <c r="B47" s="140"/>
      <c r="C47" s="141">
        <f>E47/(E36+E37)</f>
        <v>0</v>
      </c>
      <c r="D47" s="141" t="s">
        <v>66</v>
      </c>
      <c r="E47" s="142">
        <f>'Soft Costs 2'!K102</f>
        <v>0</v>
      </c>
      <c r="F47" s="122"/>
      <c r="G47" s="143"/>
      <c r="H47" s="144">
        <v>0</v>
      </c>
      <c r="I47" s="144">
        <f>(I94-I87-I79-I75-I71-I67-I63-I59-I55-I83)*0.9</f>
        <v>1998.131188641544</v>
      </c>
      <c r="J47" s="166">
        <f>(J94-J87-J79-J75-J71-J67-J63-J59-J55-J83)*0.9</f>
        <v>6775.997188641536</v>
      </c>
      <c r="K47" s="166">
        <f>(K94-K87-K79-K75-K71-K67-K63-K59-K55-K83)*0.9</f>
        <v>11015.327800473962</v>
      </c>
      <c r="L47" s="166">
        <f>(L94-L87-L79-L75-L71-L67-L63-L59-L55-L83)*0.9</f>
        <v>12231.848929929964</v>
      </c>
      <c r="M47" s="166">
        <f>I44*M94</f>
        <v>17528.046065372262</v>
      </c>
      <c r="N47" s="166">
        <f>I44*N94</f>
        <v>18818.65333161213</v>
      </c>
      <c r="O47" s="166">
        <f>I44*O94</f>
        <v>20147.978815839197</v>
      </c>
      <c r="P47" s="166">
        <f>I44*P94</f>
        <v>21517.184064593075</v>
      </c>
      <c r="Q47" s="166">
        <f>I44*Q104</f>
        <v>557362.9786962044</v>
      </c>
      <c r="R47" s="360"/>
    </row>
    <row r="48" spans="1:17" ht="13.5" thickBot="1">
      <c r="A48" s="145" t="s">
        <v>90</v>
      </c>
      <c r="B48" s="146"/>
      <c r="C48" s="147">
        <f>SUM(E39:E47)/E20</f>
        <v>55.56107682813946</v>
      </c>
      <c r="D48" s="148" t="s">
        <v>91</v>
      </c>
      <c r="E48" s="149">
        <f>SUM(E40:E47)</f>
        <v>494495.5714285714</v>
      </c>
      <c r="F48" s="150"/>
      <c r="G48" s="132" t="s">
        <v>258</v>
      </c>
      <c r="H48" s="133">
        <f>-I30-H44</f>
        <v>15000</v>
      </c>
      <c r="I48" s="134">
        <f>H48/-G104</f>
        <v>0.024</v>
      </c>
      <c r="J48" s="4"/>
      <c r="Q48" s="362"/>
    </row>
    <row r="49" spans="1:17" ht="13.5" thickBot="1">
      <c r="A49" s="152" t="s">
        <v>262</v>
      </c>
      <c r="B49" s="153"/>
      <c r="C49" s="154"/>
      <c r="D49" s="155"/>
      <c r="E49" s="364">
        <v>5000</v>
      </c>
      <c r="F49" s="156">
        <f>E50/$E$50</f>
        <v>1</v>
      </c>
      <c r="G49" s="135"/>
      <c r="H49" s="136" t="s">
        <v>253</v>
      </c>
      <c r="I49" s="136" t="s">
        <v>79</v>
      </c>
      <c r="J49" s="136" t="s">
        <v>80</v>
      </c>
      <c r="K49" s="136" t="s">
        <v>81</v>
      </c>
      <c r="L49" s="136" t="s">
        <v>82</v>
      </c>
      <c r="M49" s="136" t="s">
        <v>19</v>
      </c>
      <c r="N49" s="136" t="s">
        <v>83</v>
      </c>
      <c r="O49" s="136" t="s">
        <v>84</v>
      </c>
      <c r="P49" s="136" t="s">
        <v>85</v>
      </c>
      <c r="Q49" s="361" t="s">
        <v>86</v>
      </c>
    </row>
    <row r="50" spans="1:17" ht="13.5" thickBot="1">
      <c r="A50" s="350" t="s">
        <v>92</v>
      </c>
      <c r="B50" s="351"/>
      <c r="C50" s="352">
        <f>C35+C37+C48</f>
        <v>206.74898179574205</v>
      </c>
      <c r="D50" s="353" t="s">
        <v>60</v>
      </c>
      <c r="E50" s="354">
        <f>SUM(E35:E47)+E49</f>
        <v>2414410.5714285714</v>
      </c>
      <c r="G50" s="137" t="s">
        <v>88</v>
      </c>
      <c r="H50" s="138">
        <v>0</v>
      </c>
      <c r="I50" s="138">
        <f>I51/H48</f>
        <v>0.01480097176771513</v>
      </c>
      <c r="J50" s="161">
        <f>J51/H48</f>
        <v>0.05019257176771504</v>
      </c>
      <c r="K50" s="161">
        <f>K51/H48</f>
        <v>0.08159502074425146</v>
      </c>
      <c r="L50" s="161">
        <f>L51/H48</f>
        <v>0.09060628836985185</v>
      </c>
      <c r="M50" s="161">
        <f>M51/H48</f>
        <v>0.12983737826201674</v>
      </c>
      <c r="N50" s="162">
        <f>N51/H48</f>
        <v>0.1393974320860158</v>
      </c>
      <c r="O50" s="161">
        <f>O51/H48</f>
        <v>0.14924428752473481</v>
      </c>
      <c r="P50" s="161">
        <f>P51/H48</f>
        <v>0.15938654862661536</v>
      </c>
      <c r="Q50" s="161">
        <f>Q51/H48</f>
        <v>4.128614657008922</v>
      </c>
    </row>
    <row r="51" spans="1:21" ht="12.75">
      <c r="A51" s="150"/>
      <c r="B51" s="4"/>
      <c r="C51" s="163"/>
      <c r="D51" s="163"/>
      <c r="E51" s="164"/>
      <c r="G51" s="143"/>
      <c r="H51" s="144">
        <v>0</v>
      </c>
      <c r="I51" s="144">
        <f>I94-I87-I83-I79-I75-I71-I67-I63-I59-I55-I47</f>
        <v>222.01457651572696</v>
      </c>
      <c r="J51" s="166">
        <f>J94-J87-J83-J79-J75-J71-J67-J63-J59-J55-J47</f>
        <v>752.8885765157256</v>
      </c>
      <c r="K51" s="166">
        <f>K94-K87-K83-K79-K75-K71-K67-K63-K59-K55-K47</f>
        <v>1223.9253111637718</v>
      </c>
      <c r="L51" s="166">
        <f>L94-L87-L83-L79-L75-L71-L67-L63-L59-L55-L47</f>
        <v>1359.0943255477778</v>
      </c>
      <c r="M51" s="166">
        <f>M94*I48</f>
        <v>1947.5606739302514</v>
      </c>
      <c r="N51" s="166">
        <f>N94*I48</f>
        <v>2090.961481290237</v>
      </c>
      <c r="O51" s="166">
        <f>O94*I48</f>
        <v>2238.664312871022</v>
      </c>
      <c r="P51" s="166">
        <f>P94*I48</f>
        <v>2390.7982293992304</v>
      </c>
      <c r="Q51" s="166">
        <f>I48*Q104</f>
        <v>61929.21985513382</v>
      </c>
      <c r="S51" s="167"/>
      <c r="T51" s="167"/>
      <c r="U51" s="167"/>
    </row>
    <row r="52" spans="1:21" ht="12.75">
      <c r="A52" s="367" t="s">
        <v>94</v>
      </c>
      <c r="B52" s="367"/>
      <c r="C52" s="367"/>
      <c r="D52" s="367"/>
      <c r="E52" s="367"/>
      <c r="F52" s="97"/>
      <c r="G52" s="375" t="s">
        <v>266</v>
      </c>
      <c r="H52" s="133">
        <v>25000</v>
      </c>
      <c r="I52" s="134">
        <f>-H52/G104</f>
        <v>0.04</v>
      </c>
      <c r="K52" s="151"/>
      <c r="L52" s="151"/>
      <c r="M52" s="151"/>
      <c r="N52" s="151"/>
      <c r="O52" s="151"/>
      <c r="P52" s="151"/>
      <c r="Q52" s="363"/>
      <c r="R52" s="167"/>
      <c r="S52" s="167"/>
      <c r="T52" s="167"/>
      <c r="U52" s="167"/>
    </row>
    <row r="53" spans="1:21" ht="12.75">
      <c r="A53" s="35" t="s">
        <v>265</v>
      </c>
      <c r="B53" s="6"/>
      <c r="C53" s="168">
        <f>B23</f>
        <v>22</v>
      </c>
      <c r="D53" s="169"/>
      <c r="E53" s="170">
        <f>C53*E8</f>
        <v>138600</v>
      </c>
      <c r="F53" s="171">
        <f>E53-I71</f>
        <v>134600</v>
      </c>
      <c r="G53" s="157"/>
      <c r="H53" s="136" t="s">
        <v>253</v>
      </c>
      <c r="I53" s="136" t="s">
        <v>79</v>
      </c>
      <c r="J53" s="136" t="s">
        <v>80</v>
      </c>
      <c r="K53" s="136" t="s">
        <v>81</v>
      </c>
      <c r="L53" s="136" t="s">
        <v>82</v>
      </c>
      <c r="M53" s="136" t="s">
        <v>19</v>
      </c>
      <c r="N53" s="136" t="s">
        <v>83</v>
      </c>
      <c r="O53" s="136" t="s">
        <v>84</v>
      </c>
      <c r="P53" s="136" t="s">
        <v>85</v>
      </c>
      <c r="Q53" s="136" t="s">
        <v>86</v>
      </c>
      <c r="R53" s="340"/>
      <c r="S53" s="167"/>
      <c r="T53" s="167"/>
      <c r="U53" s="167"/>
    </row>
    <row r="54" spans="1:21" ht="12.75">
      <c r="A54" s="4" t="s">
        <v>95</v>
      </c>
      <c r="B54" s="4"/>
      <c r="C54" s="172">
        <f>B24</f>
        <v>24</v>
      </c>
      <c r="D54" s="4"/>
      <c r="E54" s="173">
        <f>(E9+E10+E11)*C54</f>
        <v>64800</v>
      </c>
      <c r="F54" s="174">
        <f>F53/E8</f>
        <v>21.365079365079364</v>
      </c>
      <c r="G54" s="160" t="s">
        <v>93</v>
      </c>
      <c r="H54" s="161">
        <v>0</v>
      </c>
      <c r="I54" s="161">
        <v>0.08</v>
      </c>
      <c r="J54" s="161">
        <v>0.08</v>
      </c>
      <c r="K54" s="161">
        <f>K55/H52</f>
        <v>0.08159502074425161</v>
      </c>
      <c r="L54" s="161">
        <f>L55/H52</f>
        <v>0.09060628836985167</v>
      </c>
      <c r="M54" s="161">
        <f>M55/H52</f>
        <v>0.12983737826201674</v>
      </c>
      <c r="N54" s="161">
        <f>N55/H52</f>
        <v>0.1393974320860158</v>
      </c>
      <c r="O54" s="162">
        <f>O55/H52</f>
        <v>0.1492442875247348</v>
      </c>
      <c r="P54" s="161">
        <f>P55/H52</f>
        <v>0.15938654862661536</v>
      </c>
      <c r="Q54" s="162">
        <f>Q55/H52</f>
        <v>4.128614657008922</v>
      </c>
      <c r="R54" s="343"/>
      <c r="S54" s="167"/>
      <c r="T54" s="167"/>
      <c r="U54" s="167"/>
    </row>
    <row r="55" spans="1:21" ht="12.75">
      <c r="A55" s="175" t="s">
        <v>40</v>
      </c>
      <c r="B55" s="4"/>
      <c r="C55" s="176"/>
      <c r="D55" s="4"/>
      <c r="E55" s="173">
        <f>D25*12</f>
        <v>6000</v>
      </c>
      <c r="G55" s="165"/>
      <c r="H55" s="166">
        <v>0</v>
      </c>
      <c r="I55" s="166">
        <f>I54*H52</f>
        <v>2000</v>
      </c>
      <c r="J55" s="166">
        <f>I55</f>
        <v>2000</v>
      </c>
      <c r="K55" s="166">
        <f>I52*K94</f>
        <v>2039.8755186062901</v>
      </c>
      <c r="L55" s="166">
        <f>I52*L94</f>
        <v>2265.1572092462916</v>
      </c>
      <c r="M55" s="166">
        <f>I52*M94</f>
        <v>3245.934456550419</v>
      </c>
      <c r="N55" s="166">
        <f>I52*N94</f>
        <v>3484.935802150395</v>
      </c>
      <c r="O55" s="166">
        <f>I52*O94</f>
        <v>3731.10718811837</v>
      </c>
      <c r="P55" s="166">
        <f>I52*P94</f>
        <v>3984.663715665384</v>
      </c>
      <c r="Q55" s="336">
        <f>I52*Q104</f>
        <v>103215.36642522304</v>
      </c>
      <c r="R55" s="341"/>
      <c r="S55" s="167"/>
      <c r="T55" s="167"/>
      <c r="U55" s="167"/>
    </row>
    <row r="56" spans="1:21" ht="12.75">
      <c r="A56" s="175"/>
      <c r="E56" s="173"/>
      <c r="G56" s="375" t="s">
        <v>267</v>
      </c>
      <c r="H56" s="133">
        <v>50000</v>
      </c>
      <c r="I56" s="134">
        <f>-H56/G104</f>
        <v>0.08</v>
      </c>
      <c r="K56" s="151"/>
      <c r="L56" s="151"/>
      <c r="M56" s="151"/>
      <c r="N56" s="151"/>
      <c r="O56" s="151"/>
      <c r="P56" s="151"/>
      <c r="Q56" s="335"/>
      <c r="R56" s="342"/>
      <c r="S56" s="167"/>
      <c r="T56" s="167"/>
      <c r="U56" s="167"/>
    </row>
    <row r="57" spans="1:21" ht="12.75">
      <c r="A57" s="177" t="s">
        <v>96</v>
      </c>
      <c r="B57" s="4"/>
      <c r="C57" s="176"/>
      <c r="D57" s="178">
        <f>SUM(E53:E54)</f>
        <v>203400</v>
      </c>
      <c r="E57" s="173"/>
      <c r="G57" s="157"/>
      <c r="H57" s="136" t="s">
        <v>253</v>
      </c>
      <c r="I57" s="136" t="s">
        <v>79</v>
      </c>
      <c r="J57" s="136" t="s">
        <v>80</v>
      </c>
      <c r="K57" s="136" t="s">
        <v>81</v>
      </c>
      <c r="L57" s="136" t="s">
        <v>82</v>
      </c>
      <c r="M57" s="136" t="s">
        <v>19</v>
      </c>
      <c r="N57" s="136" t="s">
        <v>83</v>
      </c>
      <c r="O57" s="136" t="s">
        <v>84</v>
      </c>
      <c r="P57" s="136" t="s">
        <v>85</v>
      </c>
      <c r="Q57" s="136" t="s">
        <v>86</v>
      </c>
      <c r="R57" s="340"/>
      <c r="S57" s="167"/>
      <c r="T57" s="167"/>
      <c r="U57" s="167"/>
    </row>
    <row r="58" spans="1:21" ht="12.75">
      <c r="A58" s="175" t="s">
        <v>97</v>
      </c>
      <c r="B58" s="4"/>
      <c r="C58" s="179">
        <v>0.03</v>
      </c>
      <c r="D58" s="179"/>
      <c r="E58" s="173">
        <f>-C58*D57</f>
        <v>-6102</v>
      </c>
      <c r="G58" s="160" t="s">
        <v>93</v>
      </c>
      <c r="H58" s="161">
        <v>0</v>
      </c>
      <c r="I58" s="161">
        <v>0.08</v>
      </c>
      <c r="J58" s="161">
        <v>0.08</v>
      </c>
      <c r="K58" s="161">
        <f>K59/H56</f>
        <v>0.08159502074425161</v>
      </c>
      <c r="L58" s="161">
        <f>L59/H56</f>
        <v>0.09060628836985167</v>
      </c>
      <c r="M58" s="161">
        <f>M59/H56</f>
        <v>0.12983737826201674</v>
      </c>
      <c r="N58" s="161">
        <f>N59/H56</f>
        <v>0.1393974320860158</v>
      </c>
      <c r="O58" s="162">
        <f>O59/H56</f>
        <v>0.1492442875247348</v>
      </c>
      <c r="P58" s="161">
        <f>P59/H56</f>
        <v>0.15938654862661536</v>
      </c>
      <c r="Q58" s="162">
        <f>Q59/H56</f>
        <v>4.128614657008922</v>
      </c>
      <c r="R58" s="343"/>
      <c r="S58" s="167"/>
      <c r="T58" s="167"/>
      <c r="U58" s="167"/>
    </row>
    <row r="59" spans="1:21" ht="12.75">
      <c r="A59" s="150"/>
      <c r="B59" s="13"/>
      <c r="C59" s="180"/>
      <c r="D59" s="181"/>
      <c r="E59" s="182"/>
      <c r="G59" s="165"/>
      <c r="H59" s="166">
        <v>0</v>
      </c>
      <c r="I59" s="166">
        <f>I58*H56</f>
        <v>4000</v>
      </c>
      <c r="J59" s="166">
        <f>I59</f>
        <v>4000</v>
      </c>
      <c r="K59" s="166">
        <f>I56*K94</f>
        <v>4079.7510372125803</v>
      </c>
      <c r="L59" s="166">
        <f>I56*L94</f>
        <v>4530.314418492583</v>
      </c>
      <c r="M59" s="166">
        <f>I56*M94</f>
        <v>6491.868913100838</v>
      </c>
      <c r="N59" s="166">
        <f>I56*N94</f>
        <v>6969.87160430079</v>
      </c>
      <c r="O59" s="166">
        <f>I56*O94</f>
        <v>7462.21437623674</v>
      </c>
      <c r="P59" s="166">
        <f>I56*P94</f>
        <v>7969.327431330768</v>
      </c>
      <c r="Q59" s="336">
        <f>I56*Q104</f>
        <v>206430.73285044607</v>
      </c>
      <c r="R59" s="341"/>
      <c r="S59" s="167"/>
      <c r="T59" s="167"/>
      <c r="U59" s="167"/>
    </row>
    <row r="60" spans="1:21" ht="12.75">
      <c r="A60" s="16" t="s">
        <v>98</v>
      </c>
      <c r="B60" s="4"/>
      <c r="C60" s="163" t="s">
        <v>36</v>
      </c>
      <c r="D60" s="183"/>
      <c r="E60" s="173">
        <v>0</v>
      </c>
      <c r="G60" s="375" t="s">
        <v>268</v>
      </c>
      <c r="H60" s="133">
        <v>50000</v>
      </c>
      <c r="I60" s="134">
        <f>-H60/G104</f>
        <v>0.08</v>
      </c>
      <c r="K60" s="151"/>
      <c r="L60" s="151"/>
      <c r="M60" s="151"/>
      <c r="N60" s="151"/>
      <c r="O60" s="151"/>
      <c r="P60" s="151"/>
      <c r="Q60" s="335"/>
      <c r="R60" s="342"/>
      <c r="S60" s="167"/>
      <c r="T60" s="167"/>
      <c r="U60" s="167"/>
    </row>
    <row r="61" spans="1:21" ht="12.75">
      <c r="A61" s="16"/>
      <c r="B61" s="4"/>
      <c r="C61" s="184"/>
      <c r="D61" s="183"/>
      <c r="E61" s="173"/>
      <c r="G61" s="157"/>
      <c r="H61" s="136" t="s">
        <v>253</v>
      </c>
      <c r="I61" s="136" t="s">
        <v>79</v>
      </c>
      <c r="J61" s="136" t="s">
        <v>80</v>
      </c>
      <c r="K61" s="136" t="s">
        <v>81</v>
      </c>
      <c r="L61" s="136" t="s">
        <v>82</v>
      </c>
      <c r="M61" s="136" t="s">
        <v>19</v>
      </c>
      <c r="N61" s="136" t="s">
        <v>83</v>
      </c>
      <c r="O61" s="136" t="s">
        <v>84</v>
      </c>
      <c r="P61" s="136" t="s">
        <v>85</v>
      </c>
      <c r="Q61" s="136" t="s">
        <v>86</v>
      </c>
      <c r="R61" s="340"/>
      <c r="S61" s="167"/>
      <c r="T61" s="167"/>
      <c r="U61" s="167"/>
    </row>
    <row r="62" spans="1:21" ht="12.75">
      <c r="A62" s="16" t="s">
        <v>99</v>
      </c>
      <c r="B62" s="4"/>
      <c r="C62" s="185" t="s">
        <v>36</v>
      </c>
      <c r="D62" s="186">
        <f>-1.55*E20</f>
        <v>-14353</v>
      </c>
      <c r="E62" s="173">
        <v>0</v>
      </c>
      <c r="G62" s="160" t="s">
        <v>93</v>
      </c>
      <c r="H62" s="161">
        <v>0</v>
      </c>
      <c r="I62" s="161">
        <v>0.08</v>
      </c>
      <c r="J62" s="161">
        <v>0.08</v>
      </c>
      <c r="K62" s="161">
        <f>K63/H60</f>
        <v>0.08159502074425161</v>
      </c>
      <c r="L62" s="161">
        <f>L63/H60</f>
        <v>0.09060628836985167</v>
      </c>
      <c r="M62" s="161">
        <f>M63/H60</f>
        <v>0.12983737826201674</v>
      </c>
      <c r="N62" s="161">
        <f>N63/H60</f>
        <v>0.1393974320860158</v>
      </c>
      <c r="O62" s="162">
        <f>O63/H60</f>
        <v>0.1492442875247348</v>
      </c>
      <c r="P62" s="161">
        <f>P63/H60</f>
        <v>0.15938654862661536</v>
      </c>
      <c r="Q62" s="162">
        <f>Q63/H60</f>
        <v>4.128614657008922</v>
      </c>
      <c r="R62" s="343"/>
      <c r="S62" s="167"/>
      <c r="T62" s="167"/>
      <c r="U62" s="167"/>
    </row>
    <row r="63" spans="1:21" ht="12.75">
      <c r="A63" s="16"/>
      <c r="B63" s="4"/>
      <c r="C63" s="187"/>
      <c r="D63" s="179"/>
      <c r="E63" s="173"/>
      <c r="G63" s="165"/>
      <c r="H63" s="166">
        <v>0</v>
      </c>
      <c r="I63" s="166">
        <f>I62*H60</f>
        <v>4000</v>
      </c>
      <c r="J63" s="166">
        <f>I63</f>
        <v>4000</v>
      </c>
      <c r="K63" s="166">
        <f>I60*K94</f>
        <v>4079.7510372125803</v>
      </c>
      <c r="L63" s="166">
        <f>I60*L94</f>
        <v>4530.314418492583</v>
      </c>
      <c r="M63" s="166">
        <f>I60*M94</f>
        <v>6491.868913100838</v>
      </c>
      <c r="N63" s="166">
        <f>I60*N94</f>
        <v>6969.87160430079</v>
      </c>
      <c r="O63" s="166">
        <f>I60*O94</f>
        <v>7462.21437623674</v>
      </c>
      <c r="P63" s="166">
        <f>I60*P94</f>
        <v>7969.327431330768</v>
      </c>
      <c r="Q63" s="336">
        <f>I60*Q104</f>
        <v>206430.73285044607</v>
      </c>
      <c r="R63" s="341"/>
      <c r="S63" s="167"/>
      <c r="T63" s="167"/>
      <c r="U63" s="167"/>
    </row>
    <row r="64" spans="1:21" ht="12.75">
      <c r="A64" s="16" t="s">
        <v>100</v>
      </c>
      <c r="B64" s="4"/>
      <c r="C64" s="188" t="s">
        <v>36</v>
      </c>
      <c r="D64" s="189">
        <v>0</v>
      </c>
      <c r="E64" s="173">
        <v>0</v>
      </c>
      <c r="G64" s="375" t="s">
        <v>269</v>
      </c>
      <c r="H64" s="133">
        <v>100000</v>
      </c>
      <c r="I64" s="134">
        <f>-H64/G104</f>
        <v>0.16</v>
      </c>
      <c r="K64" s="151"/>
      <c r="L64" s="151"/>
      <c r="M64" s="151"/>
      <c r="N64" s="151"/>
      <c r="O64" s="151"/>
      <c r="P64" s="151"/>
      <c r="Q64" s="335"/>
      <c r="R64" s="342"/>
      <c r="S64" s="167"/>
      <c r="T64" s="167"/>
      <c r="U64" s="167"/>
    </row>
    <row r="65" spans="1:21" ht="12.75">
      <c r="A65" s="150" t="s">
        <v>101</v>
      </c>
      <c r="B65" s="13"/>
      <c r="C65" s="190" t="s">
        <v>36</v>
      </c>
      <c r="D65" s="191" t="s">
        <v>41</v>
      </c>
      <c r="E65" s="182">
        <v>0</v>
      </c>
      <c r="G65" s="157"/>
      <c r="H65" s="136" t="s">
        <v>253</v>
      </c>
      <c r="I65" s="136" t="s">
        <v>79</v>
      </c>
      <c r="J65" s="136" t="s">
        <v>80</v>
      </c>
      <c r="K65" s="136" t="s">
        <v>81</v>
      </c>
      <c r="L65" s="136" t="s">
        <v>82</v>
      </c>
      <c r="M65" s="136" t="s">
        <v>19</v>
      </c>
      <c r="N65" s="136" t="s">
        <v>83</v>
      </c>
      <c r="O65" s="136" t="s">
        <v>84</v>
      </c>
      <c r="P65" s="136" t="s">
        <v>85</v>
      </c>
      <c r="Q65" s="136" t="s">
        <v>86</v>
      </c>
      <c r="R65" s="340"/>
      <c r="S65" s="167"/>
      <c r="T65" s="167"/>
      <c r="U65" s="167"/>
    </row>
    <row r="66" spans="1:21" ht="12.75">
      <c r="A66" s="16" t="s">
        <v>102</v>
      </c>
      <c r="B66" s="4"/>
      <c r="C66" s="54">
        <v>0.02</v>
      </c>
      <c r="D66" s="179"/>
      <c r="E66" s="192">
        <f>-C66*D57</f>
        <v>-4068</v>
      </c>
      <c r="F66" s="193"/>
      <c r="G66" s="160" t="s">
        <v>93</v>
      </c>
      <c r="H66" s="161">
        <v>0</v>
      </c>
      <c r="I66" s="161">
        <v>0.08</v>
      </c>
      <c r="J66" s="161">
        <v>0.08</v>
      </c>
      <c r="K66" s="161">
        <f>K67/H64</f>
        <v>0.08159502074425161</v>
      </c>
      <c r="L66" s="161">
        <f>L67/H64</f>
        <v>0.09060628836985167</v>
      </c>
      <c r="M66" s="161">
        <f>M67/H64</f>
        <v>0.12983737826201674</v>
      </c>
      <c r="N66" s="161">
        <f>N67/H64</f>
        <v>0.1393974320860158</v>
      </c>
      <c r="O66" s="162">
        <f>O67/H64</f>
        <v>0.1492442875247348</v>
      </c>
      <c r="P66" s="161">
        <f>P67/H64</f>
        <v>0.15938654862661536</v>
      </c>
      <c r="Q66" s="162">
        <f>Q67/H64</f>
        <v>4.128614657008922</v>
      </c>
      <c r="R66" s="343"/>
      <c r="S66" s="167"/>
      <c r="T66" s="167"/>
      <c r="U66" s="167"/>
    </row>
    <row r="67" spans="1:21" ht="12.75">
      <c r="A67" s="16" t="s">
        <v>103</v>
      </c>
      <c r="B67" s="4"/>
      <c r="C67" s="54">
        <v>0.03</v>
      </c>
      <c r="D67" s="179"/>
      <c r="E67" s="192">
        <f>-C67*D57</f>
        <v>-6102</v>
      </c>
      <c r="G67" s="165"/>
      <c r="H67" s="166">
        <v>0</v>
      </c>
      <c r="I67" s="166">
        <f>I66*H64</f>
        <v>8000</v>
      </c>
      <c r="J67" s="166">
        <f>I67</f>
        <v>8000</v>
      </c>
      <c r="K67" s="166">
        <f>I64*K94</f>
        <v>8159.502074425161</v>
      </c>
      <c r="L67" s="166">
        <f>I64*L94</f>
        <v>9060.628836985166</v>
      </c>
      <c r="M67" s="166">
        <f>I64*M94</f>
        <v>12983.737826201675</v>
      </c>
      <c r="N67" s="166">
        <f>I64*N94</f>
        <v>13939.74320860158</v>
      </c>
      <c r="O67" s="166">
        <f>I64*O94</f>
        <v>14924.42875247348</v>
      </c>
      <c r="P67" s="166">
        <f>I64*P94</f>
        <v>15938.654862661537</v>
      </c>
      <c r="Q67" s="336">
        <f>I64*Q104</f>
        <v>412861.46570089215</v>
      </c>
      <c r="R67" s="341"/>
      <c r="S67" s="167"/>
      <c r="T67" s="167"/>
      <c r="U67" s="167"/>
    </row>
    <row r="68" spans="1:21" ht="12.75">
      <c r="A68" s="16" t="s">
        <v>104</v>
      </c>
      <c r="B68" s="4"/>
      <c r="C68" s="194"/>
      <c r="D68" s="179"/>
      <c r="E68" s="173">
        <v>0</v>
      </c>
      <c r="F68" s="97"/>
      <c r="G68" s="375" t="s">
        <v>270</v>
      </c>
      <c r="H68" s="133">
        <v>50000</v>
      </c>
      <c r="I68" s="134">
        <f>-H68/G104</f>
        <v>0.08</v>
      </c>
      <c r="K68" s="151"/>
      <c r="L68" s="151"/>
      <c r="M68" s="151"/>
      <c r="N68" s="151"/>
      <c r="O68" s="151"/>
      <c r="P68" s="151"/>
      <c r="Q68" s="335"/>
      <c r="R68" s="342"/>
      <c r="S68" s="167"/>
      <c r="T68" s="167"/>
      <c r="U68" s="167"/>
    </row>
    <row r="69" spans="1:21" ht="13.5" thickBot="1">
      <c r="A69" s="195" t="s">
        <v>105</v>
      </c>
      <c r="B69" s="196"/>
      <c r="C69" s="197">
        <v>0.05</v>
      </c>
      <c r="D69" s="198"/>
      <c r="E69" s="199">
        <f>-C69*D57</f>
        <v>-10170</v>
      </c>
      <c r="G69" s="157"/>
      <c r="H69" s="136" t="s">
        <v>253</v>
      </c>
      <c r="I69" s="136" t="s">
        <v>79</v>
      </c>
      <c r="J69" s="136" t="s">
        <v>80</v>
      </c>
      <c r="K69" s="136" t="s">
        <v>81</v>
      </c>
      <c r="L69" s="136" t="s">
        <v>82</v>
      </c>
      <c r="M69" s="136" t="s">
        <v>19</v>
      </c>
      <c r="N69" s="136" t="s">
        <v>83</v>
      </c>
      <c r="O69" s="136" t="s">
        <v>84</v>
      </c>
      <c r="P69" s="136" t="s">
        <v>85</v>
      </c>
      <c r="Q69" s="136" t="s">
        <v>86</v>
      </c>
      <c r="R69" s="340"/>
      <c r="S69" s="167"/>
      <c r="T69" s="167"/>
      <c r="U69" s="167"/>
    </row>
    <row r="70" spans="1:21" ht="13.5" thickBot="1">
      <c r="A70" s="200" t="s">
        <v>106</v>
      </c>
      <c r="B70" s="201"/>
      <c r="C70" s="202">
        <f>-(E70/D57)</f>
        <v>0.13</v>
      </c>
      <c r="D70" s="202"/>
      <c r="E70" s="203">
        <f>SUM(E57:E69)</f>
        <v>-26442</v>
      </c>
      <c r="G70" s="160" t="s">
        <v>93</v>
      </c>
      <c r="H70" s="161">
        <v>0</v>
      </c>
      <c r="I70" s="161">
        <v>0.08</v>
      </c>
      <c r="J70" s="161">
        <v>0.08</v>
      </c>
      <c r="K70" s="161">
        <f>K71/H68</f>
        <v>0.08159502074425161</v>
      </c>
      <c r="L70" s="161">
        <f>L71/H68</f>
        <v>0.09060628836985167</v>
      </c>
      <c r="M70" s="161">
        <f>M71/H68</f>
        <v>0.12983737826201674</v>
      </c>
      <c r="N70" s="161">
        <f>N71/H68</f>
        <v>0.1393974320860158</v>
      </c>
      <c r="O70" s="162">
        <f>O71/H68</f>
        <v>0.1492442875247348</v>
      </c>
      <c r="P70" s="161">
        <f>P71/H68</f>
        <v>0.15938654862661536</v>
      </c>
      <c r="Q70" s="162">
        <f>Q71/H68</f>
        <v>4.128614657008922</v>
      </c>
      <c r="R70" s="343"/>
      <c r="S70" s="167"/>
      <c r="T70" s="167"/>
      <c r="U70" s="167"/>
    </row>
    <row r="71" spans="1:21" ht="12.75">
      <c r="A71" s="56" t="s">
        <v>107</v>
      </c>
      <c r="B71" s="64"/>
      <c r="E71" s="173">
        <v>0</v>
      </c>
      <c r="G71" s="165"/>
      <c r="H71" s="166">
        <v>0</v>
      </c>
      <c r="I71" s="166">
        <f>I70*H68</f>
        <v>4000</v>
      </c>
      <c r="J71" s="166">
        <f>I71</f>
        <v>4000</v>
      </c>
      <c r="K71" s="166">
        <f>I68*K94</f>
        <v>4079.7510372125803</v>
      </c>
      <c r="L71" s="166">
        <f>I68*L94</f>
        <v>4530.314418492583</v>
      </c>
      <c r="M71" s="166">
        <f>I68*M94</f>
        <v>6491.868913100838</v>
      </c>
      <c r="N71" s="166">
        <f>I68*N94</f>
        <v>6969.87160430079</v>
      </c>
      <c r="O71" s="166">
        <f>O94*I68</f>
        <v>7462.21437623674</v>
      </c>
      <c r="P71" s="166">
        <f>I68*P94</f>
        <v>7969.327431330768</v>
      </c>
      <c r="Q71" s="336">
        <f>I68*Q104</f>
        <v>206430.73285044607</v>
      </c>
      <c r="R71" s="341"/>
      <c r="S71" s="167"/>
      <c r="T71" s="167"/>
      <c r="U71" s="167"/>
    </row>
    <row r="72" spans="1:21" ht="12.75">
      <c r="A72" s="56" t="s">
        <v>108</v>
      </c>
      <c r="B72" s="64"/>
      <c r="E72" s="204">
        <f>E70/E20</f>
        <v>-2.8555075593952486</v>
      </c>
      <c r="G72" s="375" t="s">
        <v>271</v>
      </c>
      <c r="H72" s="133">
        <v>50000</v>
      </c>
      <c r="I72" s="134">
        <f>-H72/G104</f>
        <v>0.08</v>
      </c>
      <c r="K72" s="151"/>
      <c r="L72" s="151"/>
      <c r="M72" s="151"/>
      <c r="N72" s="151"/>
      <c r="O72" s="151"/>
      <c r="P72" s="151"/>
      <c r="Q72" s="335"/>
      <c r="R72" s="342"/>
      <c r="S72" s="167"/>
      <c r="T72" s="167"/>
      <c r="U72" s="167"/>
    </row>
    <row r="73" spans="1:21" ht="13.5" thickBot="1">
      <c r="A73" s="16"/>
      <c r="B73" s="4"/>
      <c r="E73" s="173"/>
      <c r="G73" s="157"/>
      <c r="H73" s="136" t="s">
        <v>253</v>
      </c>
      <c r="I73" s="136" t="s">
        <v>79</v>
      </c>
      <c r="J73" s="136" t="s">
        <v>80</v>
      </c>
      <c r="K73" s="136" t="s">
        <v>81</v>
      </c>
      <c r="L73" s="136" t="s">
        <v>82</v>
      </c>
      <c r="M73" s="136" t="s">
        <v>19</v>
      </c>
      <c r="N73" s="136" t="s">
        <v>83</v>
      </c>
      <c r="O73" s="136" t="s">
        <v>84</v>
      </c>
      <c r="P73" s="136" t="s">
        <v>85</v>
      </c>
      <c r="Q73" s="136" t="s">
        <v>86</v>
      </c>
      <c r="R73" s="340"/>
      <c r="S73" s="167"/>
      <c r="T73" s="167"/>
      <c r="U73" s="167"/>
    </row>
    <row r="74" spans="1:21" ht="13.5" thickBot="1">
      <c r="A74" s="158" t="s">
        <v>63</v>
      </c>
      <c r="B74" s="159"/>
      <c r="C74" s="146"/>
      <c r="D74" s="146"/>
      <c r="E74" s="205">
        <f>SUM(E53:E69)</f>
        <v>182958</v>
      </c>
      <c r="G74" s="160" t="s">
        <v>93</v>
      </c>
      <c r="H74" s="161">
        <v>0</v>
      </c>
      <c r="I74" s="161">
        <v>0.08</v>
      </c>
      <c r="J74" s="161">
        <v>0.08</v>
      </c>
      <c r="K74" s="161">
        <f>K75/H72</f>
        <v>0.08159502074425161</v>
      </c>
      <c r="L74" s="161">
        <f>L75/H72</f>
        <v>0.09060628836985167</v>
      </c>
      <c r="M74" s="161">
        <f>M75/H72</f>
        <v>0.12983737826201674</v>
      </c>
      <c r="N74" s="161">
        <f>N75/H72</f>
        <v>0.1393974320860158</v>
      </c>
      <c r="O74" s="162">
        <f>O75/H72</f>
        <v>0.1492442875247348</v>
      </c>
      <c r="P74" s="161">
        <f>P75/H72</f>
        <v>0.15938654862661536</v>
      </c>
      <c r="Q74" s="162">
        <f>Q75/H72</f>
        <v>4.128614657008922</v>
      </c>
      <c r="R74" s="343"/>
      <c r="S74" s="167"/>
      <c r="T74" s="167"/>
      <c r="U74" s="167"/>
    </row>
    <row r="75" spans="7:21" ht="12.75">
      <c r="G75" s="165"/>
      <c r="H75" s="166">
        <v>0</v>
      </c>
      <c r="I75" s="166">
        <f>I74*H72</f>
        <v>4000</v>
      </c>
      <c r="J75" s="166">
        <f>I75</f>
        <v>4000</v>
      </c>
      <c r="K75" s="166">
        <f>I72*K94</f>
        <v>4079.7510372125803</v>
      </c>
      <c r="L75" s="166">
        <f>I72*L94</f>
        <v>4530.314418492583</v>
      </c>
      <c r="M75" s="166">
        <f>I72*M94</f>
        <v>6491.868913100838</v>
      </c>
      <c r="N75" s="166">
        <f>I72*N94</f>
        <v>6969.87160430079</v>
      </c>
      <c r="O75" s="166">
        <f>I72*O94</f>
        <v>7462.21437623674</v>
      </c>
      <c r="P75" s="166">
        <f>I72*P94</f>
        <v>7969.327431330768</v>
      </c>
      <c r="Q75" s="336">
        <f>I72*Q104</f>
        <v>206430.73285044607</v>
      </c>
      <c r="R75" s="341"/>
      <c r="S75" s="167"/>
      <c r="T75" s="167"/>
      <c r="U75" s="167"/>
    </row>
    <row r="76" spans="7:21" ht="12.75">
      <c r="G76" s="375" t="s">
        <v>272</v>
      </c>
      <c r="H76" s="133">
        <v>100000</v>
      </c>
      <c r="I76" s="134">
        <f>H76/-G104</f>
        <v>0.16</v>
      </c>
      <c r="K76" s="151"/>
      <c r="L76" s="151"/>
      <c r="M76" s="151"/>
      <c r="N76" s="151"/>
      <c r="O76" s="151"/>
      <c r="P76" s="151"/>
      <c r="Q76" s="335"/>
      <c r="R76" s="342"/>
      <c r="S76" s="167"/>
      <c r="T76" s="167"/>
      <c r="U76" s="167"/>
    </row>
    <row r="77" spans="7:21" ht="12.75">
      <c r="G77" s="157"/>
      <c r="H77" s="136" t="s">
        <v>253</v>
      </c>
      <c r="I77" s="136" t="s">
        <v>79</v>
      </c>
      <c r="J77" s="136" t="s">
        <v>80</v>
      </c>
      <c r="K77" s="136" t="s">
        <v>81</v>
      </c>
      <c r="L77" s="136" t="s">
        <v>82</v>
      </c>
      <c r="M77" s="136"/>
      <c r="N77" s="136"/>
      <c r="O77" s="136"/>
      <c r="P77" s="136"/>
      <c r="Q77" s="136"/>
      <c r="R77" s="340"/>
      <c r="S77" s="167"/>
      <c r="T77" s="167"/>
      <c r="U77" s="167"/>
    </row>
    <row r="78" spans="1:21" ht="12.75">
      <c r="A78" s="209" t="s">
        <v>110</v>
      </c>
      <c r="G78" s="160" t="s">
        <v>93</v>
      </c>
      <c r="H78" s="161">
        <v>0</v>
      </c>
      <c r="I78" s="161">
        <v>0.08</v>
      </c>
      <c r="J78" s="161">
        <v>0.08</v>
      </c>
      <c r="K78" s="161">
        <f>K79/H76</f>
        <v>0.08159502074425161</v>
      </c>
      <c r="L78" s="161">
        <f>L79/H76</f>
        <v>0.09060628836985167</v>
      </c>
      <c r="M78" s="161">
        <f>M79/H76</f>
        <v>0.12983737826201674</v>
      </c>
      <c r="N78" s="161">
        <f>N79/H76</f>
        <v>0.1393974320860158</v>
      </c>
      <c r="O78" s="162">
        <f>O79/H76</f>
        <v>0.1492442875247348</v>
      </c>
      <c r="P78" s="161">
        <f>P79/H76</f>
        <v>0.15938654862661536</v>
      </c>
      <c r="Q78" s="162">
        <f>Q79/H76</f>
        <v>4.128614657008922</v>
      </c>
      <c r="R78" s="343"/>
      <c r="S78" s="167"/>
      <c r="T78" s="167"/>
      <c r="U78" s="167"/>
    </row>
    <row r="79" spans="1:21" ht="12.75">
      <c r="A79" s="209" t="s">
        <v>112</v>
      </c>
      <c r="G79" s="165"/>
      <c r="H79" s="166">
        <v>0</v>
      </c>
      <c r="I79" s="166">
        <f>I78*H76</f>
        <v>8000</v>
      </c>
      <c r="J79" s="166">
        <f>I79</f>
        <v>8000</v>
      </c>
      <c r="K79" s="166">
        <f>I76*K94</f>
        <v>8159.502074425161</v>
      </c>
      <c r="L79" s="166">
        <f>I76*L94</f>
        <v>9060.628836985166</v>
      </c>
      <c r="M79" s="166">
        <f>I76*M94</f>
        <v>12983.737826201675</v>
      </c>
      <c r="N79" s="166">
        <f>I76*N94</f>
        <v>13939.74320860158</v>
      </c>
      <c r="O79" s="166">
        <f>I76*O94</f>
        <v>14924.42875247348</v>
      </c>
      <c r="P79" s="166">
        <f>I76*P94</f>
        <v>15938.654862661537</v>
      </c>
      <c r="Q79" s="336">
        <f>I76*Q104</f>
        <v>412861.46570089215</v>
      </c>
      <c r="R79" s="341"/>
      <c r="S79" s="167"/>
      <c r="T79" s="167"/>
      <c r="U79" s="167"/>
    </row>
    <row r="80" spans="1:21" ht="12.75">
      <c r="A80" s="209" t="s">
        <v>113</v>
      </c>
      <c r="G80" s="375" t="s">
        <v>273</v>
      </c>
      <c r="H80" s="133">
        <v>25000</v>
      </c>
      <c r="I80" s="134">
        <f>H80/-G104</f>
        <v>0.04</v>
      </c>
      <c r="K80" s="151"/>
      <c r="L80" s="151"/>
      <c r="M80" s="151"/>
      <c r="N80" s="151"/>
      <c r="O80" s="151"/>
      <c r="P80" s="151"/>
      <c r="Q80" s="335"/>
      <c r="R80" s="340"/>
      <c r="S80" s="167"/>
      <c r="T80" s="167"/>
      <c r="U80" s="167"/>
    </row>
    <row r="81" spans="1:21" ht="12.75">
      <c r="A81" s="215" t="s">
        <v>115</v>
      </c>
      <c r="G81" s="157"/>
      <c r="H81" s="136" t="s">
        <v>253</v>
      </c>
      <c r="I81" s="136" t="s">
        <v>79</v>
      </c>
      <c r="J81" s="136" t="s">
        <v>80</v>
      </c>
      <c r="K81" s="136" t="s">
        <v>81</v>
      </c>
      <c r="L81" s="136" t="s">
        <v>82</v>
      </c>
      <c r="M81" s="136"/>
      <c r="N81" s="136"/>
      <c r="O81" s="136"/>
      <c r="P81" s="136"/>
      <c r="Q81" s="136"/>
      <c r="R81" s="344"/>
      <c r="S81" s="167"/>
      <c r="T81" s="167"/>
      <c r="U81" s="167"/>
    </row>
    <row r="82" spans="1:21" ht="12.75">
      <c r="A82" s="215" t="s">
        <v>117</v>
      </c>
      <c r="G82" s="160" t="s">
        <v>93</v>
      </c>
      <c r="H82" s="161">
        <v>0</v>
      </c>
      <c r="I82" s="161">
        <v>0.08</v>
      </c>
      <c r="J82" s="161">
        <v>0.08</v>
      </c>
      <c r="K82" s="161">
        <f>K83/H80</f>
        <v>0.08159502074425161</v>
      </c>
      <c r="L82" s="161">
        <f>L83/H80</f>
        <v>0.09060628836985167</v>
      </c>
      <c r="M82" s="161">
        <f>M83/H80</f>
        <v>0.12983737826201674</v>
      </c>
      <c r="N82" s="161">
        <f>N83/H80</f>
        <v>0.1393974320860158</v>
      </c>
      <c r="O82" s="162">
        <f>O83/H80</f>
        <v>0.1492442875247348</v>
      </c>
      <c r="P82" s="161">
        <f>P83/H80</f>
        <v>0.15938654862661536</v>
      </c>
      <c r="Q82" s="162">
        <f>Q83/H80</f>
        <v>4.128614657008922</v>
      </c>
      <c r="R82" s="344"/>
      <c r="S82" s="167"/>
      <c r="T82" s="167"/>
      <c r="U82" s="167"/>
    </row>
    <row r="83" spans="1:21" ht="12.75">
      <c r="A83" s="215" t="s">
        <v>118</v>
      </c>
      <c r="G83" s="165"/>
      <c r="H83" s="166">
        <v>0</v>
      </c>
      <c r="I83" s="166">
        <f>I82*H80</f>
        <v>2000</v>
      </c>
      <c r="J83" s="166">
        <f>I83</f>
        <v>2000</v>
      </c>
      <c r="K83" s="166">
        <f>I80*K94</f>
        <v>2039.8755186062901</v>
      </c>
      <c r="L83" s="166">
        <f>I80*L94</f>
        <v>2265.1572092462916</v>
      </c>
      <c r="M83" s="166">
        <f>I80*M94</f>
        <v>3245.934456550419</v>
      </c>
      <c r="N83" s="166">
        <f>I80*N94</f>
        <v>3484.935802150395</v>
      </c>
      <c r="O83" s="166">
        <f>I80*O94</f>
        <v>3731.10718811837</v>
      </c>
      <c r="P83" s="166">
        <f>I80*P94</f>
        <v>3984.663715665384</v>
      </c>
      <c r="Q83" s="336">
        <f>I80*Q104</f>
        <v>103215.36642522304</v>
      </c>
      <c r="R83" s="344"/>
      <c r="S83" s="167"/>
      <c r="T83" s="167"/>
      <c r="U83" s="167"/>
    </row>
    <row r="84" spans="1:21" ht="12.75">
      <c r="A84" s="215" t="s">
        <v>120</v>
      </c>
      <c r="G84" s="375" t="s">
        <v>274</v>
      </c>
      <c r="H84" s="133">
        <v>25000</v>
      </c>
      <c r="I84" s="134">
        <f>H84/-G104</f>
        <v>0.04</v>
      </c>
      <c r="K84" s="151"/>
      <c r="L84" s="151"/>
      <c r="M84" s="151"/>
      <c r="N84" s="151"/>
      <c r="O84" s="151"/>
      <c r="P84" s="151"/>
      <c r="Q84" s="335"/>
      <c r="S84" s="167"/>
      <c r="T84" s="167"/>
      <c r="U84" s="167"/>
    </row>
    <row r="85" spans="1:17" ht="12.75">
      <c r="A85" s="215" t="s">
        <v>122</v>
      </c>
      <c r="G85" s="157"/>
      <c r="H85" s="136" t="s">
        <v>253</v>
      </c>
      <c r="I85" s="136" t="s">
        <v>79</v>
      </c>
      <c r="J85" s="136" t="s">
        <v>80</v>
      </c>
      <c r="K85" s="136" t="s">
        <v>81</v>
      </c>
      <c r="L85" s="136" t="s">
        <v>82</v>
      </c>
      <c r="M85" s="136"/>
      <c r="N85" s="136"/>
      <c r="O85" s="136"/>
      <c r="P85" s="136"/>
      <c r="Q85" s="136"/>
    </row>
    <row r="86" spans="1:17" ht="12.75">
      <c r="A86" s="215" t="s">
        <v>123</v>
      </c>
      <c r="G86" s="160" t="s">
        <v>93</v>
      </c>
      <c r="H86" s="161">
        <v>0</v>
      </c>
      <c r="I86" s="161">
        <v>0.08</v>
      </c>
      <c r="J86" s="161">
        <v>0.08</v>
      </c>
      <c r="K86" s="161">
        <f>K87/H84</f>
        <v>0.08159502074425161</v>
      </c>
      <c r="L86" s="161">
        <f>L87/H84</f>
        <v>0.09060628836985167</v>
      </c>
      <c r="M86" s="161">
        <f>M87/H84</f>
        <v>0.12983737826201674</v>
      </c>
      <c r="N86" s="161">
        <f>N87/H84</f>
        <v>0.1393974320860158</v>
      </c>
      <c r="O86" s="162">
        <f>O87/H84</f>
        <v>0.1492442875247348</v>
      </c>
      <c r="P86" s="161">
        <f>P87/H84</f>
        <v>0.15938654862661536</v>
      </c>
      <c r="Q86" s="162">
        <f>Q87/H84</f>
        <v>4.128614657008922</v>
      </c>
    </row>
    <row r="87" spans="1:17" ht="12.75">
      <c r="A87" s="215" t="s">
        <v>125</v>
      </c>
      <c r="G87" s="165"/>
      <c r="H87" s="166">
        <v>0</v>
      </c>
      <c r="I87" s="166">
        <f>I86*H84</f>
        <v>2000</v>
      </c>
      <c r="J87" s="166">
        <f>I87</f>
        <v>2000</v>
      </c>
      <c r="K87" s="166">
        <f>I84*K94</f>
        <v>2039.8755186062901</v>
      </c>
      <c r="L87" s="166">
        <f>I84*L94</f>
        <v>2265.1572092462916</v>
      </c>
      <c r="M87" s="166">
        <f>I84*M94</f>
        <v>3245.934456550419</v>
      </c>
      <c r="N87" s="166">
        <f>I84*N94</f>
        <v>3484.935802150395</v>
      </c>
      <c r="O87" s="166">
        <f>I84*O94</f>
        <v>3731.10718811837</v>
      </c>
      <c r="P87" s="166">
        <f>I84*P94</f>
        <v>3984.663715665384</v>
      </c>
      <c r="Q87" s="336">
        <f>I84*Q104</f>
        <v>103215.36642522304</v>
      </c>
    </row>
    <row r="88" spans="3:18" ht="12.75">
      <c r="C88" s="209"/>
      <c r="G88" s="206"/>
      <c r="H88" s="136" t="s">
        <v>253</v>
      </c>
      <c r="I88" s="136" t="s">
        <v>79</v>
      </c>
      <c r="J88" s="136" t="s">
        <v>80</v>
      </c>
      <c r="K88" s="136" t="s">
        <v>81</v>
      </c>
      <c r="L88" s="136" t="s">
        <v>82</v>
      </c>
      <c r="M88" s="136" t="s">
        <v>19</v>
      </c>
      <c r="N88" s="136" t="s">
        <v>83</v>
      </c>
      <c r="O88" s="136" t="s">
        <v>84</v>
      </c>
      <c r="P88" s="136" t="s">
        <v>85</v>
      </c>
      <c r="Q88" s="136" t="s">
        <v>86</v>
      </c>
      <c r="R88" s="344"/>
    </row>
    <row r="89" spans="3:18" ht="12.75">
      <c r="C89" s="215"/>
      <c r="G89" s="207" t="s">
        <v>109</v>
      </c>
      <c r="H89" s="208">
        <v>0</v>
      </c>
      <c r="I89" s="208">
        <f>D57</f>
        <v>203400</v>
      </c>
      <c r="J89" s="208">
        <f aca="true" t="shared" si="1" ref="J89:Q89">I89*103%</f>
        <v>209502</v>
      </c>
      <c r="K89" s="208">
        <f t="shared" si="1"/>
        <v>215787.06</v>
      </c>
      <c r="L89" s="208">
        <f t="shared" si="1"/>
        <v>222260.6718</v>
      </c>
      <c r="M89" s="208">
        <f t="shared" si="1"/>
        <v>228928.49195400003</v>
      </c>
      <c r="N89" s="208">
        <f t="shared" si="1"/>
        <v>235796.34671262003</v>
      </c>
      <c r="O89" s="208">
        <f t="shared" si="1"/>
        <v>242870.23711399862</v>
      </c>
      <c r="P89" s="208">
        <f t="shared" si="1"/>
        <v>250156.3442274186</v>
      </c>
      <c r="Q89" s="208">
        <f t="shared" si="1"/>
        <v>257661.03455424117</v>
      </c>
      <c r="R89" s="344"/>
    </row>
    <row r="90" spans="3:18" ht="12.75">
      <c r="C90" s="215"/>
      <c r="G90" s="210" t="s">
        <v>111</v>
      </c>
      <c r="H90" s="211">
        <v>0</v>
      </c>
      <c r="I90" s="211">
        <f>E70</f>
        <v>-26442</v>
      </c>
      <c r="J90" s="211">
        <f aca="true" t="shared" si="2" ref="J90:Q90">I90*103%</f>
        <v>-27235.260000000002</v>
      </c>
      <c r="K90" s="211">
        <f t="shared" si="2"/>
        <v>-28052.317800000004</v>
      </c>
      <c r="L90" s="211">
        <f t="shared" si="2"/>
        <v>-28893.887334000006</v>
      </c>
      <c r="M90" s="211">
        <f t="shared" si="2"/>
        <v>-29760.703954020006</v>
      </c>
      <c r="N90" s="211">
        <f t="shared" si="2"/>
        <v>-30653.52507264061</v>
      </c>
      <c r="O90" s="211">
        <f t="shared" si="2"/>
        <v>-31573.13082481983</v>
      </c>
      <c r="P90" s="211">
        <f t="shared" si="2"/>
        <v>-32520.324749564425</v>
      </c>
      <c r="Q90" s="211">
        <f t="shared" si="2"/>
        <v>-33495.93449205136</v>
      </c>
      <c r="R90" s="344"/>
    </row>
    <row r="91" spans="3:18" ht="12.75">
      <c r="C91" s="215"/>
      <c r="G91" s="213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345"/>
    </row>
    <row r="92" spans="7:18" ht="12.75">
      <c r="G92" s="210" t="s">
        <v>114</v>
      </c>
      <c r="H92" s="211">
        <v>0</v>
      </c>
      <c r="I92" s="211">
        <f>I89+I90</f>
        <v>176958</v>
      </c>
      <c r="J92" s="211">
        <f aca="true" t="shared" si="3" ref="J92:Q92">SUM(J89:J91)</f>
        <v>182266.74</v>
      </c>
      <c r="K92" s="211">
        <f t="shared" si="3"/>
        <v>187734.74219999998</v>
      </c>
      <c r="L92" s="211">
        <f t="shared" si="3"/>
        <v>193366.784466</v>
      </c>
      <c r="M92" s="211">
        <f t="shared" si="3"/>
        <v>199167.78799998004</v>
      </c>
      <c r="N92" s="211">
        <f t="shared" si="3"/>
        <v>205142.82163997943</v>
      </c>
      <c r="O92" s="211">
        <f t="shared" si="3"/>
        <v>211297.1062891788</v>
      </c>
      <c r="P92" s="211">
        <f t="shared" si="3"/>
        <v>217636.01947785416</v>
      </c>
      <c r="Q92" s="211">
        <f t="shared" si="3"/>
        <v>224165.1000621898</v>
      </c>
      <c r="R92" s="346"/>
    </row>
    <row r="93" spans="7:18" ht="12.75">
      <c r="G93" s="213" t="s">
        <v>116</v>
      </c>
      <c r="H93" s="334" t="s">
        <v>15</v>
      </c>
      <c r="I93" s="214">
        <f>I37+I39</f>
        <v>-136737.85423484273</v>
      </c>
      <c r="J93" s="214">
        <f>I93</f>
        <v>-136737.85423484273</v>
      </c>
      <c r="K93" s="214">
        <f>J93</f>
        <v>-136737.85423484273</v>
      </c>
      <c r="L93" s="214">
        <f>K93</f>
        <v>-136737.85423484273</v>
      </c>
      <c r="M93" s="214">
        <f>K25</f>
        <v>-118019.42658621956</v>
      </c>
      <c r="N93" s="214">
        <f>K25</f>
        <v>-118019.42658621956</v>
      </c>
      <c r="O93" s="214">
        <f>N93</f>
        <v>-118019.42658621956</v>
      </c>
      <c r="P93" s="214">
        <f>O93</f>
        <v>-118019.42658621956</v>
      </c>
      <c r="Q93" s="214">
        <f>P93</f>
        <v>-118019.42658621956</v>
      </c>
      <c r="R93" s="342"/>
    </row>
    <row r="94" spans="7:18" ht="12.75">
      <c r="G94" s="210" t="s">
        <v>69</v>
      </c>
      <c r="H94" s="212">
        <v>0</v>
      </c>
      <c r="I94" s="212">
        <f>I92+I93</f>
        <v>40220.14576515727</v>
      </c>
      <c r="J94" s="212">
        <f>J92+J93</f>
        <v>45528.88576515726</v>
      </c>
      <c r="K94" s="212">
        <f>K92+K93</f>
        <v>50996.88796515725</v>
      </c>
      <c r="L94" s="212">
        <f>L92+L93</f>
        <v>56628.93023115728</v>
      </c>
      <c r="M94" s="212">
        <f>M92+M93+M101</f>
        <v>81148.36141376047</v>
      </c>
      <c r="N94" s="212">
        <f>N92+N93</f>
        <v>87123.39505375987</v>
      </c>
      <c r="O94" s="212">
        <f>O92+O93</f>
        <v>93277.67970295924</v>
      </c>
      <c r="P94" s="212">
        <f>P92+P93</f>
        <v>99616.5928916346</v>
      </c>
      <c r="Q94" s="211">
        <f>Q92+Q93</f>
        <v>106145.67347597024</v>
      </c>
      <c r="R94" s="347"/>
    </row>
    <row r="95" spans="7:18" ht="12.75">
      <c r="G95" s="213" t="s">
        <v>119</v>
      </c>
      <c r="H95" s="216"/>
      <c r="I95" s="216">
        <f>I94/-G104</f>
        <v>0.06435223322425164</v>
      </c>
      <c r="J95" s="217">
        <f>J94/-G104</f>
        <v>0.07284621722425162</v>
      </c>
      <c r="K95" s="217">
        <f>K94/-G104</f>
        <v>0.0815950207442516</v>
      </c>
      <c r="L95" s="217">
        <f>L94/-G104</f>
        <v>0.09060628836985166</v>
      </c>
      <c r="M95" s="217">
        <f>M94/-G104</f>
        <v>0.12983737826201677</v>
      </c>
      <c r="N95" s="217">
        <f>N94/-G104</f>
        <v>0.1393974320860158</v>
      </c>
      <c r="O95" s="217">
        <f>O94/-G104</f>
        <v>0.1492442875247348</v>
      </c>
      <c r="P95" s="217">
        <f>P94/-G104</f>
        <v>0.15938654862661536</v>
      </c>
      <c r="Q95" s="337">
        <f>Q94/-G104</f>
        <v>0.1698330775615524</v>
      </c>
      <c r="R95" s="347"/>
    </row>
    <row r="96" spans="7:18" ht="12.75">
      <c r="G96" s="218" t="s">
        <v>121</v>
      </c>
      <c r="H96" s="219"/>
      <c r="I96" s="219">
        <f aca="true" t="shared" si="4" ref="I96:Q96">-I92/I93</f>
        <v>1.2941405362123095</v>
      </c>
      <c r="J96" s="220">
        <f t="shared" si="4"/>
        <v>1.3329647522986787</v>
      </c>
      <c r="K96" s="220">
        <f t="shared" si="4"/>
        <v>1.372953694867639</v>
      </c>
      <c r="L96" s="220">
        <f t="shared" si="4"/>
        <v>1.4141423057136686</v>
      </c>
      <c r="M96" s="220">
        <f t="shared" si="4"/>
        <v>1.687584779565737</v>
      </c>
      <c r="N96" s="220">
        <f t="shared" si="4"/>
        <v>1.7382123229527093</v>
      </c>
      <c r="O96" s="220">
        <f t="shared" si="4"/>
        <v>1.7903586926412904</v>
      </c>
      <c r="P96" s="220">
        <f t="shared" si="4"/>
        <v>1.844069453420529</v>
      </c>
      <c r="Q96" s="338">
        <f t="shared" si="4"/>
        <v>1.8993915370231451</v>
      </c>
      <c r="R96" s="349">
        <f>1555/1717</f>
        <v>0.9056493884682586</v>
      </c>
    </row>
    <row r="97" spans="7:18" ht="12.75">
      <c r="G97" s="218" t="s">
        <v>255</v>
      </c>
      <c r="Q97" s="339">
        <f>4800*135</f>
        <v>648000</v>
      </c>
      <c r="R97" s="347"/>
    </row>
    <row r="98" spans="7:18" ht="12.75">
      <c r="G98" s="218" t="s">
        <v>124</v>
      </c>
      <c r="H98" s="221"/>
      <c r="I98" s="221">
        <f>I19</f>
        <v>2613685.714285714</v>
      </c>
      <c r="J98" s="221">
        <f aca="true" t="shared" si="5" ref="J98:Q98">I98*1.03</f>
        <v>2692096.2857142854</v>
      </c>
      <c r="K98" s="221">
        <f t="shared" si="5"/>
        <v>2772859.174285714</v>
      </c>
      <c r="L98" s="221">
        <f t="shared" si="5"/>
        <v>2856044.9495142857</v>
      </c>
      <c r="M98" s="221">
        <f t="shared" si="5"/>
        <v>2941726.2979997145</v>
      </c>
      <c r="N98" s="221">
        <f t="shared" si="5"/>
        <v>3029978.086939706</v>
      </c>
      <c r="O98" s="221">
        <f t="shared" si="5"/>
        <v>3120877.429547897</v>
      </c>
      <c r="P98" s="221">
        <f t="shared" si="5"/>
        <v>3214503.7524343343</v>
      </c>
      <c r="Q98" s="339">
        <f t="shared" si="5"/>
        <v>3310938.865007364</v>
      </c>
      <c r="R98" s="342"/>
    </row>
    <row r="99" spans="7:18" ht="12.75">
      <c r="G99" s="222" t="s">
        <v>126</v>
      </c>
      <c r="H99" s="223"/>
      <c r="I99" s="223"/>
      <c r="J99" s="224"/>
      <c r="K99" s="224"/>
      <c r="L99" s="221">
        <f>K15*0.98</f>
        <v>1427451.26576724</v>
      </c>
      <c r="M99" s="224"/>
      <c r="N99" s="224"/>
      <c r="O99" s="224"/>
      <c r="P99" s="224"/>
      <c r="Q99" s="339">
        <f>Q98*0.95</f>
        <v>3145391.921756996</v>
      </c>
      <c r="R99" s="342"/>
    </row>
    <row r="100" spans="7:18" ht="12.75">
      <c r="G100" s="225" t="s">
        <v>127</v>
      </c>
      <c r="H100" s="226"/>
      <c r="I100" s="226"/>
      <c r="J100" s="227"/>
      <c r="K100" s="227"/>
      <c r="L100" s="221">
        <f>'Loan Amortization Schedule _2_'!C62+(0.76*I8)</f>
        <v>1563986.5629646752</v>
      </c>
      <c r="M100" s="227"/>
      <c r="N100" s="227"/>
      <c r="O100" s="227"/>
      <c r="P100" s="227"/>
      <c r="Q100" s="339">
        <f>R96*K15</f>
        <v>1319153.4346023903</v>
      </c>
      <c r="R100" s="344"/>
    </row>
    <row r="101" spans="7:18" ht="12.75">
      <c r="G101" s="218" t="s">
        <v>128</v>
      </c>
      <c r="I101" s="228"/>
      <c r="L101" s="221">
        <f>L99-L100</f>
        <v>-136535.29719743528</v>
      </c>
      <c r="Q101" s="339">
        <f>Q99-Q100</f>
        <v>1826238.4871546056</v>
      </c>
      <c r="R101" s="348"/>
    </row>
    <row r="102" spans="7:16" ht="13.5" thickBot="1">
      <c r="G102" s="209"/>
      <c r="I102" s="229"/>
      <c r="J102" s="229"/>
      <c r="K102" s="229"/>
      <c r="L102" s="229"/>
      <c r="M102" s="229"/>
      <c r="N102" s="167"/>
      <c r="O102" s="167"/>
      <c r="P102" s="167"/>
    </row>
    <row r="103" spans="7:17" ht="13.5" thickBot="1">
      <c r="G103" s="230" t="s">
        <v>254</v>
      </c>
      <c r="H103" s="231">
        <f>IRR(G104:R104)</f>
        <v>0.19678021397507983</v>
      </c>
      <c r="I103" s="232"/>
      <c r="J103" s="232"/>
      <c r="K103" s="6"/>
      <c r="L103" s="6"/>
      <c r="M103" s="6"/>
      <c r="N103" s="6"/>
      <c r="O103" s="6"/>
      <c r="P103" s="6"/>
      <c r="Q103" s="355"/>
    </row>
    <row r="104" spans="7:17" ht="12.75">
      <c r="G104" s="233">
        <f>-I35-H44-H48</f>
        <v>-625000</v>
      </c>
      <c r="H104">
        <v>0</v>
      </c>
      <c r="I104" s="234">
        <f aca="true" t="shared" si="6" ref="I104:P104">I94</f>
        <v>40220.14576515727</v>
      </c>
      <c r="J104" s="234">
        <f t="shared" si="6"/>
        <v>45528.88576515726</v>
      </c>
      <c r="K104" s="234">
        <f t="shared" si="6"/>
        <v>50996.88796515725</v>
      </c>
      <c r="L104" s="234">
        <f t="shared" si="6"/>
        <v>56628.93023115728</v>
      </c>
      <c r="M104" s="234">
        <f t="shared" si="6"/>
        <v>81148.36141376047</v>
      </c>
      <c r="N104" s="234">
        <f t="shared" si="6"/>
        <v>87123.39505375987</v>
      </c>
      <c r="O104" s="234">
        <f t="shared" si="6"/>
        <v>93277.67970295924</v>
      </c>
      <c r="P104" s="234">
        <f t="shared" si="6"/>
        <v>99616.5928916346</v>
      </c>
      <c r="Q104" s="356">
        <f>Q94+Q101+Q97</f>
        <v>2580384.160630576</v>
      </c>
    </row>
    <row r="105" spans="7:17" ht="12.75">
      <c r="G105" s="150"/>
      <c r="H105" s="235"/>
      <c r="I105" s="235"/>
      <c r="J105" s="235"/>
      <c r="K105" s="235"/>
      <c r="L105" s="235"/>
      <c r="M105" s="235"/>
      <c r="N105" s="235"/>
      <c r="O105" s="235"/>
      <c r="P105" s="235"/>
      <c r="Q105" s="357"/>
    </row>
    <row r="108" ht="12.75">
      <c r="I108" s="109"/>
    </row>
  </sheetData>
  <sheetProtection selectLockedCells="1" selectUnlockedCells="1"/>
  <mergeCells count="10">
    <mergeCell ref="G13:I13"/>
    <mergeCell ref="G27:I27"/>
    <mergeCell ref="A34:E34"/>
    <mergeCell ref="A52:E52"/>
    <mergeCell ref="A1:I1"/>
    <mergeCell ref="A3:I3"/>
    <mergeCell ref="A5:E5"/>
    <mergeCell ref="G5:I5"/>
    <mergeCell ref="L5:N5"/>
    <mergeCell ref="P7:S11"/>
  </mergeCells>
  <printOptions gridLines="1" headings="1"/>
  <pageMargins left="0.5" right="0.5" top="0.9840277777777777" bottom="0.9840277777777777" header="0.5118055555555555" footer="0.5118055555555555"/>
  <pageSetup fitToHeight="1" fitToWidth="1" horizontalDpi="600" verticalDpi="600" orientation="landscape" paperSize="17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indowProtection="1" zoomScale="85" zoomScaleNormal="85" zoomScalePageLayoutView="0" workbookViewId="0" topLeftCell="A1">
      <selection activeCell="A1" sqref="A1:K1"/>
    </sheetView>
  </sheetViews>
  <sheetFormatPr defaultColWidth="8.7109375" defaultRowHeight="12.75"/>
  <cols>
    <col min="1" max="1" width="8.7109375" style="0" customWidth="1"/>
    <col min="2" max="2" width="30.421875" style="0" customWidth="1"/>
    <col min="3" max="3" width="10.7109375" style="0" customWidth="1"/>
    <col min="4" max="4" width="10.140625" style="0" customWidth="1"/>
    <col min="5" max="6" width="8.7109375" style="0" customWidth="1"/>
    <col min="7" max="7" width="9.421875" style="0" customWidth="1"/>
    <col min="8" max="8" width="12.140625" style="0" customWidth="1"/>
    <col min="9" max="9" width="11.421875" style="0" customWidth="1"/>
    <col min="10" max="10" width="8.7109375" style="0" customWidth="1"/>
    <col min="11" max="11" width="15.28125" style="0" customWidth="1"/>
    <col min="12" max="12" width="6.140625" style="18" customWidth="1"/>
    <col min="13" max="13" width="5.8515625" style="18" customWidth="1"/>
    <col min="14" max="14" width="3.421875" style="18" customWidth="1"/>
    <col min="15" max="15" width="12.8515625" style="18" customWidth="1"/>
  </cols>
  <sheetData>
    <row r="1" spans="1:11" ht="24" customHeight="1">
      <c r="A1" s="370" t="str">
        <f>'Proforma 2'!A1</f>
        <v>The Shore – Market and a Full Table, with SOV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12" customHeight="1">
      <c r="A2" s="236"/>
      <c r="B2" s="4"/>
      <c r="C2" s="4"/>
      <c r="D2" s="4"/>
      <c r="E2" s="4"/>
      <c r="F2" s="4"/>
      <c r="G2" s="4"/>
      <c r="H2" s="4"/>
      <c r="K2" s="237"/>
    </row>
    <row r="3" spans="1:11" ht="12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8.75" customHeight="1">
      <c r="A4" s="238" t="s">
        <v>129</v>
      </c>
      <c r="B4" s="239"/>
      <c r="C4" s="4"/>
      <c r="D4" s="4"/>
      <c r="E4" s="4"/>
      <c r="F4" s="4"/>
      <c r="G4" s="4"/>
      <c r="H4" s="4"/>
      <c r="I4" s="240">
        <f>'Proforma 2'!C35</f>
        <v>151.1879049676026</v>
      </c>
      <c r="J4" s="241" t="s">
        <v>130</v>
      </c>
      <c r="K4" s="242">
        <f>'Proforma 2'!E35</f>
        <v>1400000</v>
      </c>
    </row>
    <row r="5" spans="1:11" ht="12.75">
      <c r="A5" s="243" t="s">
        <v>131</v>
      </c>
      <c r="B5" s="244"/>
      <c r="C5" s="245"/>
      <c r="D5" s="245"/>
      <c r="E5" s="245"/>
      <c r="F5" s="245"/>
      <c r="G5" s="245"/>
      <c r="H5" s="245"/>
      <c r="I5" s="246"/>
      <c r="J5" s="246"/>
      <c r="K5" s="247"/>
    </row>
    <row r="6" spans="1:11" ht="12.75">
      <c r="A6" s="248"/>
      <c r="B6" s="249" t="s">
        <v>132</v>
      </c>
      <c r="C6" s="4"/>
      <c r="D6" s="4"/>
      <c r="E6" s="4"/>
      <c r="F6" s="4"/>
      <c r="G6" s="250">
        <f>'Proforma 2'!C36</f>
        <v>53.446544276457885</v>
      </c>
      <c r="H6" s="4" t="s">
        <v>91</v>
      </c>
      <c r="I6" s="241">
        <f>'Proforma 2'!E36</f>
        <v>494915</v>
      </c>
      <c r="K6" s="237"/>
    </row>
    <row r="7" spans="1:11" ht="12.75">
      <c r="A7" s="248"/>
      <c r="B7" s="249" t="s">
        <v>133</v>
      </c>
      <c r="C7" s="4"/>
      <c r="D7" s="4"/>
      <c r="E7" s="4"/>
      <c r="F7" s="4" t="s">
        <v>134</v>
      </c>
      <c r="G7" s="187">
        <f>'Proforma 2'!C37</f>
        <v>0</v>
      </c>
      <c r="H7" s="4" t="s">
        <v>91</v>
      </c>
      <c r="I7" s="241">
        <f>'Proforma 2'!E37</f>
        <v>0</v>
      </c>
      <c r="K7" s="237"/>
    </row>
    <row r="8" spans="1:11" ht="12.75">
      <c r="A8" s="248"/>
      <c r="B8" s="249"/>
      <c r="C8" s="4"/>
      <c r="D8" s="4"/>
      <c r="E8" s="4"/>
      <c r="F8" s="4" t="s">
        <v>134</v>
      </c>
      <c r="G8" s="187">
        <v>0</v>
      </c>
      <c r="H8" s="4" t="s">
        <v>91</v>
      </c>
      <c r="I8" s="241">
        <f>G8*'Proforma 2'!E22</f>
        <v>0</v>
      </c>
      <c r="K8" s="237"/>
    </row>
    <row r="9" spans="1:11" ht="12.75">
      <c r="A9" s="248"/>
      <c r="B9" s="249" t="s">
        <v>135</v>
      </c>
      <c r="C9" s="4"/>
      <c r="D9" s="4"/>
      <c r="E9" s="4"/>
      <c r="F9" s="4" t="s">
        <v>134</v>
      </c>
      <c r="G9" s="187">
        <v>0</v>
      </c>
      <c r="H9" s="4" t="s">
        <v>91</v>
      </c>
      <c r="I9" s="241">
        <f>G9*'Proforma 2'!E23</f>
        <v>0</v>
      </c>
      <c r="K9" s="237"/>
    </row>
    <row r="10" spans="1:11" ht="12.75">
      <c r="A10" s="248"/>
      <c r="B10" s="249" t="s">
        <v>136</v>
      </c>
      <c r="C10" s="4"/>
      <c r="D10" s="4"/>
      <c r="E10" s="4"/>
      <c r="F10" s="4" t="s">
        <v>134</v>
      </c>
      <c r="G10" s="187">
        <v>0</v>
      </c>
      <c r="H10" s="4" t="s">
        <v>91</v>
      </c>
      <c r="I10" s="241">
        <f>G10*'Proforma 2'!E24</f>
        <v>0</v>
      </c>
      <c r="K10" s="237"/>
    </row>
    <row r="11" spans="1:11" ht="12.75">
      <c r="A11" s="248"/>
      <c r="B11" s="249" t="s">
        <v>137</v>
      </c>
      <c r="C11" s="4"/>
      <c r="D11" s="4"/>
      <c r="E11" s="4"/>
      <c r="F11" s="4" t="s">
        <v>134</v>
      </c>
      <c r="G11" s="187">
        <v>0</v>
      </c>
      <c r="H11" s="4" t="s">
        <v>91</v>
      </c>
      <c r="I11" s="241">
        <v>0</v>
      </c>
      <c r="K11" s="237"/>
    </row>
    <row r="12" spans="1:11" ht="12.75">
      <c r="A12" s="248"/>
      <c r="B12" s="249" t="s">
        <v>138</v>
      </c>
      <c r="C12" s="4"/>
      <c r="D12" s="4"/>
      <c r="E12" s="4"/>
      <c r="F12" s="4" t="s">
        <v>139</v>
      </c>
      <c r="G12" s="187">
        <v>0</v>
      </c>
      <c r="H12" s="4" t="s">
        <v>91</v>
      </c>
      <c r="I12" s="241">
        <f>G12*'Proforma 2'!E26</f>
        <v>0</v>
      </c>
      <c r="K12" s="237"/>
    </row>
    <row r="13" spans="1:11" ht="12.75">
      <c r="A13" s="248"/>
      <c r="B13" s="249" t="s">
        <v>64</v>
      </c>
      <c r="C13" s="4"/>
      <c r="D13" s="4"/>
      <c r="E13" s="4"/>
      <c r="F13" s="4" t="s">
        <v>134</v>
      </c>
      <c r="G13" s="241">
        <f>'Proforma 2'!E38</f>
        <v>0</v>
      </c>
      <c r="H13" s="4" t="s">
        <v>91</v>
      </c>
      <c r="I13" s="241">
        <f>G13</f>
        <v>0</v>
      </c>
      <c r="K13" s="237"/>
    </row>
    <row r="14" spans="1:11" ht="12.75">
      <c r="A14" s="248"/>
      <c r="B14" s="249" t="s">
        <v>140</v>
      </c>
      <c r="C14" s="4"/>
      <c r="D14" s="4"/>
      <c r="E14" s="4"/>
      <c r="F14" s="4" t="s">
        <v>139</v>
      </c>
      <c r="G14" s="187">
        <v>0</v>
      </c>
      <c r="H14" s="4" t="s">
        <v>91</v>
      </c>
      <c r="I14" s="241">
        <v>0</v>
      </c>
      <c r="K14" s="237"/>
    </row>
    <row r="15" spans="1:11" ht="12.75">
      <c r="A15" s="248"/>
      <c r="B15" s="249" t="s">
        <v>141</v>
      </c>
      <c r="C15" s="111"/>
      <c r="D15" s="4"/>
      <c r="E15" s="4"/>
      <c r="F15" s="4" t="s">
        <v>139</v>
      </c>
      <c r="G15" s="187">
        <v>0</v>
      </c>
      <c r="H15" s="4" t="s">
        <v>91</v>
      </c>
      <c r="I15" s="241">
        <f>G15*'Proforma 2'!E26</f>
        <v>0</v>
      </c>
      <c r="K15" s="237"/>
    </row>
    <row r="16" spans="1:11" ht="12.75">
      <c r="A16" s="248"/>
      <c r="B16" s="251" t="s">
        <v>142</v>
      </c>
      <c r="C16" s="252"/>
      <c r="D16" s="253"/>
      <c r="E16" s="253"/>
      <c r="F16" s="253"/>
      <c r="G16" s="253"/>
      <c r="H16" s="253"/>
      <c r="I16" s="254">
        <f>SUM(I6:I15)</f>
        <v>494915</v>
      </c>
      <c r="K16" s="237"/>
    </row>
    <row r="17" spans="1:11" ht="12.75">
      <c r="A17" s="248"/>
      <c r="B17" s="255" t="s">
        <v>141</v>
      </c>
      <c r="C17" s="256">
        <f>I17/I6</f>
        <v>0.04041097966317449</v>
      </c>
      <c r="D17" s="224"/>
      <c r="E17" s="224"/>
      <c r="F17" s="224"/>
      <c r="G17" s="224"/>
      <c r="H17" s="224"/>
      <c r="I17" s="257">
        <v>20000</v>
      </c>
      <c r="K17" s="237"/>
    </row>
    <row r="18" spans="1:11" ht="12.75">
      <c r="A18" s="248"/>
      <c r="B18" s="249"/>
      <c r="C18" s="4"/>
      <c r="D18" s="4"/>
      <c r="E18" s="4"/>
      <c r="F18" s="4"/>
      <c r="G18" s="4"/>
      <c r="H18" s="4"/>
      <c r="K18" s="237"/>
    </row>
    <row r="19" spans="1:11" ht="12.75">
      <c r="A19" s="258"/>
      <c r="B19" s="259" t="s">
        <v>143</v>
      </c>
      <c r="C19" s="4"/>
      <c r="D19" s="4"/>
      <c r="E19" s="4"/>
      <c r="F19" s="4"/>
      <c r="G19" s="4"/>
      <c r="H19" s="4"/>
      <c r="K19" s="260">
        <f>SUM(I16:I17)</f>
        <v>514915</v>
      </c>
    </row>
    <row r="20" spans="1:11" ht="12.75">
      <c r="A20" s="243" t="s">
        <v>144</v>
      </c>
      <c r="B20" s="244"/>
      <c r="C20" s="245"/>
      <c r="D20" s="245"/>
      <c r="E20" s="245"/>
      <c r="F20" s="245"/>
      <c r="G20" s="245"/>
      <c r="H20" s="245"/>
      <c r="I20" s="246"/>
      <c r="J20" s="246"/>
      <c r="K20" s="247"/>
    </row>
    <row r="21" spans="1:11" ht="12.75">
      <c r="A21" s="261"/>
      <c r="B21" s="249" t="s">
        <v>145</v>
      </c>
      <c r="C21" s="4"/>
      <c r="D21" s="4"/>
      <c r="E21" s="4"/>
      <c r="F21" s="4"/>
      <c r="G21" s="262">
        <f>I21/I16</f>
        <v>0</v>
      </c>
      <c r="H21" s="4" t="s">
        <v>146</v>
      </c>
      <c r="I21" s="241">
        <v>0</v>
      </c>
      <c r="K21" s="237"/>
    </row>
    <row r="22" spans="1:11" ht="12.75">
      <c r="A22" s="261"/>
      <c r="B22" s="249" t="s">
        <v>147</v>
      </c>
      <c r="C22" s="4"/>
      <c r="D22" s="4"/>
      <c r="E22" s="4"/>
      <c r="F22" s="4"/>
      <c r="G22" s="262">
        <f>I22/I16</f>
        <v>0</v>
      </c>
      <c r="H22" s="4" t="s">
        <v>146</v>
      </c>
      <c r="I22" s="241">
        <v>0</v>
      </c>
      <c r="K22" s="237"/>
    </row>
    <row r="23" spans="1:11" ht="12.75">
      <c r="A23" s="261"/>
      <c r="B23" s="249" t="s">
        <v>148</v>
      </c>
      <c r="C23" s="4"/>
      <c r="D23" s="4"/>
      <c r="E23" s="4"/>
      <c r="F23" s="4"/>
      <c r="G23" s="262">
        <f>I23/I16</f>
        <v>0</v>
      </c>
      <c r="H23" s="4" t="s">
        <v>146</v>
      </c>
      <c r="I23" s="241">
        <v>0</v>
      </c>
      <c r="K23" s="237"/>
    </row>
    <row r="24" spans="1:11" ht="12.75">
      <c r="A24" s="261"/>
      <c r="B24" s="249" t="s">
        <v>149</v>
      </c>
      <c r="C24" s="4"/>
      <c r="D24" s="4"/>
      <c r="E24" s="4"/>
      <c r="F24" s="4"/>
      <c r="G24" s="262">
        <f>I24/I16</f>
        <v>0.00828425083095077</v>
      </c>
      <c r="H24" s="4" t="s">
        <v>146</v>
      </c>
      <c r="I24" s="241">
        <v>4100</v>
      </c>
      <c r="K24" s="237"/>
    </row>
    <row r="25" spans="1:11" ht="12.75">
      <c r="A25" s="261"/>
      <c r="B25" s="249" t="s">
        <v>150</v>
      </c>
      <c r="C25" s="4"/>
      <c r="D25" s="4"/>
      <c r="E25" s="4"/>
      <c r="F25" s="4"/>
      <c r="G25" s="262">
        <f>I25/I16</f>
        <v>0</v>
      </c>
      <c r="H25" s="4" t="s">
        <v>146</v>
      </c>
      <c r="I25" s="241">
        <v>0</v>
      </c>
      <c r="K25" s="237"/>
    </row>
    <row r="26" spans="1:11" ht="12.75">
      <c r="A26" s="261"/>
      <c r="B26" s="249" t="s">
        <v>151</v>
      </c>
      <c r="C26" s="4"/>
      <c r="D26" s="4"/>
      <c r="E26" s="4"/>
      <c r="F26" s="4"/>
      <c r="G26" s="262">
        <f>I26/I16</f>
        <v>0.025636725498317893</v>
      </c>
      <c r="H26" s="4" t="s">
        <v>146</v>
      </c>
      <c r="I26" s="241">
        <v>12688</v>
      </c>
      <c r="K26" s="237"/>
    </row>
    <row r="27" spans="1:11" ht="12.75">
      <c r="A27" s="261"/>
      <c r="B27" s="249" t="s">
        <v>152</v>
      </c>
      <c r="C27" s="4"/>
      <c r="D27" s="4"/>
      <c r="E27" s="4"/>
      <c r="F27" s="4"/>
      <c r="G27" s="262">
        <f>I27/I16</f>
        <v>0</v>
      </c>
      <c r="H27" s="4" t="s">
        <v>146</v>
      </c>
      <c r="I27" s="241">
        <v>0</v>
      </c>
      <c r="K27" s="237"/>
    </row>
    <row r="28" spans="1:11" ht="12.75">
      <c r="A28" s="261"/>
      <c r="B28" s="249" t="s">
        <v>153</v>
      </c>
      <c r="C28" s="4"/>
      <c r="D28" s="4"/>
      <c r="E28" s="4"/>
      <c r="F28" s="4"/>
      <c r="G28" s="262">
        <f>I28/I16</f>
        <v>0</v>
      </c>
      <c r="H28" s="4" t="s">
        <v>146</v>
      </c>
      <c r="I28" s="241">
        <v>0</v>
      </c>
      <c r="K28" s="237"/>
    </row>
    <row r="29" spans="1:11" ht="12.75">
      <c r="A29" s="261"/>
      <c r="B29" s="249" t="s">
        <v>260</v>
      </c>
      <c r="C29" s="4"/>
      <c r="D29" s="4"/>
      <c r="E29" s="4"/>
      <c r="F29" s="4"/>
      <c r="G29" s="262">
        <f>I29/I16</f>
        <v>0.004041097966317448</v>
      </c>
      <c r="H29" s="4" t="s">
        <v>146</v>
      </c>
      <c r="I29" s="241">
        <v>2000</v>
      </c>
      <c r="K29" s="237"/>
    </row>
    <row r="30" spans="1:11" ht="12.75">
      <c r="A30" s="261"/>
      <c r="B30" s="249"/>
      <c r="C30" s="4"/>
      <c r="D30" s="4"/>
      <c r="E30" s="4"/>
      <c r="F30" s="4" t="s">
        <v>154</v>
      </c>
      <c r="G30" s="262">
        <f>SUM(G21:G29)</f>
        <v>0.03796207429558611</v>
      </c>
      <c r="H30" s="4"/>
      <c r="K30" s="237"/>
    </row>
    <row r="31" spans="1:11" ht="12.75">
      <c r="A31" s="258"/>
      <c r="B31" s="259" t="s">
        <v>143</v>
      </c>
      <c r="C31" s="4"/>
      <c r="D31" s="4"/>
      <c r="E31" s="4"/>
      <c r="F31" s="4"/>
      <c r="G31" s="4"/>
      <c r="H31" s="4"/>
      <c r="K31" s="260">
        <f>SUM(I21:I29)</f>
        <v>18788</v>
      </c>
    </row>
    <row r="32" spans="1:11" ht="12.75">
      <c r="A32" s="243" t="s">
        <v>155</v>
      </c>
      <c r="B32" s="244"/>
      <c r="C32" s="263"/>
      <c r="D32" s="245"/>
      <c r="E32" s="245"/>
      <c r="F32" s="245"/>
      <c r="G32" s="245"/>
      <c r="H32" s="245"/>
      <c r="I32" s="246"/>
      <c r="J32" s="246"/>
      <c r="K32" s="247"/>
    </row>
    <row r="33" spans="1:11" ht="12.75">
      <c r="A33" s="261"/>
      <c r="B33" s="249" t="s">
        <v>156</v>
      </c>
      <c r="C33" s="264">
        <f>I33/I6</f>
        <v>0.06908256973419678</v>
      </c>
      <c r="D33" s="224"/>
      <c r="E33" s="224"/>
      <c r="F33" s="224"/>
      <c r="G33" s="224"/>
      <c r="H33" s="224"/>
      <c r="I33" s="257">
        <v>34190</v>
      </c>
      <c r="K33" s="237"/>
    </row>
    <row r="34" spans="1:11" ht="12.75">
      <c r="A34" s="261"/>
      <c r="B34" s="249" t="s">
        <v>157</v>
      </c>
      <c r="C34" s="4"/>
      <c r="D34" s="4"/>
      <c r="E34" s="4"/>
      <c r="F34" s="4"/>
      <c r="G34" s="4" t="s">
        <v>158</v>
      </c>
      <c r="H34" s="4"/>
      <c r="K34" s="237"/>
    </row>
    <row r="35" spans="1:11" ht="12.75">
      <c r="A35" s="261"/>
      <c r="B35" s="249" t="s">
        <v>159</v>
      </c>
      <c r="C35" s="4"/>
      <c r="D35" s="4"/>
      <c r="E35" s="4"/>
      <c r="F35" s="4"/>
      <c r="G35" s="4"/>
      <c r="H35" s="4"/>
      <c r="I35" s="241">
        <v>0</v>
      </c>
      <c r="K35" s="237"/>
    </row>
    <row r="36" spans="1:11" ht="12.75">
      <c r="A36" s="261"/>
      <c r="B36" s="249" t="s">
        <v>160</v>
      </c>
      <c r="C36" s="4"/>
      <c r="D36" s="4"/>
      <c r="E36" s="4"/>
      <c r="F36" s="4"/>
      <c r="G36" s="4"/>
      <c r="H36" s="4"/>
      <c r="I36" s="241">
        <v>0</v>
      </c>
      <c r="K36" s="237"/>
    </row>
    <row r="37" spans="1:11" ht="12.75">
      <c r="A37" s="261"/>
      <c r="B37" s="249" t="s">
        <v>161</v>
      </c>
      <c r="C37" s="4"/>
      <c r="D37" s="4"/>
      <c r="E37" s="4"/>
      <c r="F37" s="4"/>
      <c r="G37" s="4" t="s">
        <v>158</v>
      </c>
      <c r="H37" s="4"/>
      <c r="I37" s="241">
        <v>0</v>
      </c>
      <c r="K37" s="237"/>
    </row>
    <row r="38" spans="1:11" ht="12.75">
      <c r="A38" s="261"/>
      <c r="B38" s="249" t="s">
        <v>162</v>
      </c>
      <c r="C38" s="4"/>
      <c r="D38" s="4"/>
      <c r="E38" s="4"/>
      <c r="F38" s="4"/>
      <c r="G38" s="4" t="s">
        <v>158</v>
      </c>
      <c r="H38" s="4"/>
      <c r="K38" s="237"/>
    </row>
    <row r="39" spans="1:11" ht="12.75">
      <c r="A39" s="265" t="s">
        <v>163</v>
      </c>
      <c r="B39" s="249"/>
      <c r="C39" s="4"/>
      <c r="D39" s="4"/>
      <c r="E39" s="4"/>
      <c r="F39" s="4"/>
      <c r="G39" s="4"/>
      <c r="H39" s="4"/>
      <c r="K39" s="237"/>
    </row>
    <row r="40" spans="1:11" ht="12.75">
      <c r="A40" s="261"/>
      <c r="B40" s="259" t="s">
        <v>143</v>
      </c>
      <c r="C40" s="4"/>
      <c r="D40" s="4"/>
      <c r="E40" s="4"/>
      <c r="F40" s="4"/>
      <c r="G40" s="4"/>
      <c r="H40" s="4"/>
      <c r="K40" s="260">
        <f>SUM(I33:I38)</f>
        <v>34190</v>
      </c>
    </row>
    <row r="41" spans="1:11" ht="12.75">
      <c r="A41" s="243" t="s">
        <v>164</v>
      </c>
      <c r="B41" s="244"/>
      <c r="C41" s="263"/>
      <c r="D41" s="245"/>
      <c r="E41" s="245"/>
      <c r="F41" s="245"/>
      <c r="G41" s="245"/>
      <c r="H41" s="245"/>
      <c r="I41" s="246"/>
      <c r="J41" s="246"/>
      <c r="K41" s="247"/>
    </row>
    <row r="42" spans="1:11" ht="12.75">
      <c r="A42" s="261"/>
      <c r="B42" s="249" t="s">
        <v>165</v>
      </c>
      <c r="C42" s="266">
        <v>0</v>
      </c>
      <c r="D42" s="224"/>
      <c r="E42" s="224"/>
      <c r="F42" s="224"/>
      <c r="G42" s="224"/>
      <c r="H42" s="224"/>
      <c r="I42" s="257">
        <f>I16*C42</f>
        <v>0</v>
      </c>
      <c r="K42" s="237"/>
    </row>
    <row r="43" spans="1:11" ht="12.75">
      <c r="A43" s="261"/>
      <c r="B43" s="249" t="s">
        <v>166</v>
      </c>
      <c r="C43" s="267">
        <v>0.1</v>
      </c>
      <c r="D43" s="224" t="s">
        <v>167</v>
      </c>
      <c r="E43" s="224"/>
      <c r="F43" s="224"/>
      <c r="G43" s="224"/>
      <c r="H43" s="224"/>
      <c r="I43" s="257">
        <f>C43*'Proforma 2'!I19</f>
        <v>261368.57142857142</v>
      </c>
      <c r="K43" s="237"/>
    </row>
    <row r="44" spans="1:11" ht="12.75">
      <c r="A44" s="261"/>
      <c r="B44" s="249" t="s">
        <v>168</v>
      </c>
      <c r="C44" s="4"/>
      <c r="D44" s="4"/>
      <c r="E44" s="4"/>
      <c r="F44" s="4"/>
      <c r="G44" s="4" t="s">
        <v>158</v>
      </c>
      <c r="H44" s="4"/>
      <c r="K44" s="237"/>
    </row>
    <row r="45" spans="1:11" ht="12.75">
      <c r="A45" s="261"/>
      <c r="B45" s="249" t="s">
        <v>169</v>
      </c>
      <c r="C45" s="4"/>
      <c r="D45" s="4"/>
      <c r="E45" s="4"/>
      <c r="F45" s="4"/>
      <c r="G45" s="4"/>
      <c r="H45" s="4"/>
      <c r="I45" s="241">
        <v>4218</v>
      </c>
      <c r="K45" s="237"/>
    </row>
    <row r="46" spans="1:11" ht="12.75">
      <c r="A46" s="261"/>
      <c r="B46" s="249" t="s">
        <v>170</v>
      </c>
      <c r="C46" s="4"/>
      <c r="D46" s="4"/>
      <c r="E46" s="4"/>
      <c r="F46" s="4"/>
      <c r="G46" s="4" t="s">
        <v>158</v>
      </c>
      <c r="H46" s="4"/>
      <c r="I46" s="241"/>
      <c r="K46" s="237"/>
    </row>
    <row r="47" spans="1:11" ht="12.75">
      <c r="A47" s="261"/>
      <c r="B47" s="249" t="s">
        <v>171</v>
      </c>
      <c r="C47" s="4"/>
      <c r="D47" s="4"/>
      <c r="E47" s="4"/>
      <c r="F47" s="4"/>
      <c r="G47" s="4"/>
      <c r="H47" s="4"/>
      <c r="I47" s="241">
        <v>1200</v>
      </c>
      <c r="K47" s="237"/>
    </row>
    <row r="48" spans="1:11" ht="12.75">
      <c r="A48" s="261"/>
      <c r="B48" s="249"/>
      <c r="C48" s="4"/>
      <c r="D48" s="4"/>
      <c r="E48" s="4"/>
      <c r="F48" s="4"/>
      <c r="G48" s="4"/>
      <c r="H48" s="4"/>
      <c r="K48" s="237"/>
    </row>
    <row r="49" spans="1:11" ht="12.75">
      <c r="A49" s="268"/>
      <c r="B49" s="269" t="s">
        <v>143</v>
      </c>
      <c r="C49" s="4"/>
      <c r="D49" s="4"/>
      <c r="E49" s="4"/>
      <c r="F49" s="4"/>
      <c r="G49" s="4"/>
      <c r="H49" s="4"/>
      <c r="K49" s="260">
        <f>SUM(I42:I48)</f>
        <v>266786.5714285714</v>
      </c>
    </row>
    <row r="50" spans="2:11" ht="12.75">
      <c r="B50" s="270"/>
      <c r="C50" s="196"/>
      <c r="D50" s="196"/>
      <c r="E50" s="196"/>
      <c r="F50" s="196"/>
      <c r="G50" s="196"/>
      <c r="H50" s="196"/>
      <c r="I50" s="271"/>
      <c r="J50" s="271"/>
      <c r="K50" s="272"/>
    </row>
    <row r="51" spans="1:11" ht="12.75">
      <c r="A51" s="273"/>
      <c r="B51" s="274"/>
      <c r="C51" s="275"/>
      <c r="D51" s="275"/>
      <c r="E51" s="275"/>
      <c r="F51" s="275"/>
      <c r="G51" s="275"/>
      <c r="H51" s="275"/>
      <c r="I51" s="276"/>
      <c r="J51" s="276"/>
      <c r="K51" s="277"/>
    </row>
    <row r="52" spans="1:11" ht="12.75">
      <c r="A52" s="243" t="s">
        <v>173</v>
      </c>
      <c r="B52" s="244"/>
      <c r="C52" s="245"/>
      <c r="D52" s="245"/>
      <c r="E52" s="245"/>
      <c r="F52" s="245"/>
      <c r="G52" s="245"/>
      <c r="H52" s="245"/>
      <c r="I52" s="246"/>
      <c r="J52" s="246"/>
      <c r="K52" s="278"/>
    </row>
    <row r="53" spans="1:11" ht="12.75">
      <c r="A53" s="261"/>
      <c r="B53" s="249" t="s">
        <v>174</v>
      </c>
      <c r="C53" s="111">
        <v>0.015</v>
      </c>
      <c r="D53" s="111" t="s">
        <v>175</v>
      </c>
      <c r="E53" s="4"/>
      <c r="F53" s="4"/>
      <c r="G53" s="4"/>
      <c r="H53" s="4"/>
      <c r="I53" s="241">
        <f>I16*0.7*C53</f>
        <v>5196.6075</v>
      </c>
      <c r="K53" s="237"/>
    </row>
    <row r="54" spans="1:11" ht="12.75">
      <c r="A54" s="261"/>
      <c r="B54" s="249" t="s">
        <v>176</v>
      </c>
      <c r="C54" s="279">
        <v>0</v>
      </c>
      <c r="D54" s="111" t="s">
        <v>175</v>
      </c>
      <c r="E54" s="4"/>
      <c r="F54" s="4"/>
      <c r="G54" s="4"/>
      <c r="H54" s="4"/>
      <c r="I54" s="241">
        <f>C54*I16</f>
        <v>0</v>
      </c>
      <c r="K54" s="237"/>
    </row>
    <row r="55" spans="1:11" ht="12.75">
      <c r="A55" s="261"/>
      <c r="B55" s="249" t="s">
        <v>177</v>
      </c>
      <c r="C55" s="4"/>
      <c r="D55" s="4"/>
      <c r="E55" s="4"/>
      <c r="F55" s="4"/>
      <c r="G55" s="4"/>
      <c r="H55" s="4"/>
      <c r="I55" s="241">
        <v>0</v>
      </c>
      <c r="K55" s="237"/>
    </row>
    <row r="56" spans="1:11" ht="12.75">
      <c r="A56" s="261"/>
      <c r="B56" s="249" t="s">
        <v>178</v>
      </c>
      <c r="C56" s="280"/>
      <c r="D56" s="4" t="s">
        <v>179</v>
      </c>
      <c r="E56" s="4"/>
      <c r="F56" s="4">
        <v>1</v>
      </c>
      <c r="G56" s="4" t="s">
        <v>180</v>
      </c>
      <c r="H56" s="4"/>
      <c r="I56" s="241">
        <f>C56*F56</f>
        <v>0</v>
      </c>
      <c r="K56" s="237"/>
    </row>
    <row r="57" spans="1:11" ht="12.75">
      <c r="A57" s="261"/>
      <c r="B57" s="249"/>
      <c r="C57" s="280">
        <v>2190</v>
      </c>
      <c r="D57" s="4" t="s">
        <v>181</v>
      </c>
      <c r="E57" s="4"/>
      <c r="F57" s="4">
        <v>2</v>
      </c>
      <c r="G57" s="4" t="s">
        <v>180</v>
      </c>
      <c r="H57" s="4"/>
      <c r="I57" s="241">
        <f>C57*F57</f>
        <v>4380</v>
      </c>
      <c r="K57" s="237"/>
    </row>
    <row r="58" spans="1:11" ht="12.75">
      <c r="A58" s="236"/>
      <c r="B58" s="4" t="s">
        <v>182</v>
      </c>
      <c r="C58" s="280">
        <v>500</v>
      </c>
      <c r="D58" s="4" t="s">
        <v>183</v>
      </c>
      <c r="E58" s="4"/>
      <c r="F58" s="4">
        <v>0</v>
      </c>
      <c r="G58" s="4" t="s">
        <v>180</v>
      </c>
      <c r="H58" s="4"/>
      <c r="I58" s="241">
        <f>C58*F58</f>
        <v>0</v>
      </c>
      <c r="K58" s="237"/>
    </row>
    <row r="59" spans="1:11" ht="12.75">
      <c r="A59" s="236"/>
      <c r="B59" s="4"/>
      <c r="C59" s="280">
        <v>500</v>
      </c>
      <c r="D59" s="4" t="s">
        <v>184</v>
      </c>
      <c r="E59" s="4"/>
      <c r="F59" s="4">
        <v>3</v>
      </c>
      <c r="G59" s="4" t="s">
        <v>185</v>
      </c>
      <c r="H59" s="4"/>
      <c r="I59" s="241">
        <v>0</v>
      </c>
      <c r="K59" s="237"/>
    </row>
    <row r="60" spans="1:11" ht="12.75">
      <c r="A60" s="261"/>
      <c r="B60" s="249" t="s">
        <v>186</v>
      </c>
      <c r="C60" s="280">
        <v>500</v>
      </c>
      <c r="D60" s="4" t="s">
        <v>183</v>
      </c>
      <c r="E60" s="4"/>
      <c r="F60" s="4">
        <v>0</v>
      </c>
      <c r="G60" s="4" t="s">
        <v>180</v>
      </c>
      <c r="H60" s="4"/>
      <c r="I60" s="241">
        <f>C60*F60</f>
        <v>0</v>
      </c>
      <c r="K60" s="237"/>
    </row>
    <row r="61" spans="1:11" ht="12.75">
      <c r="A61" s="261"/>
      <c r="B61" s="249"/>
      <c r="C61" s="280">
        <v>3999</v>
      </c>
      <c r="D61" s="4" t="s">
        <v>184</v>
      </c>
      <c r="E61" s="4"/>
      <c r="F61" s="4">
        <v>3</v>
      </c>
      <c r="G61" s="4" t="s">
        <v>185</v>
      </c>
      <c r="H61" s="4"/>
      <c r="K61" s="237"/>
    </row>
    <row r="62" spans="1:11" ht="12.75">
      <c r="A62" s="261"/>
      <c r="B62" s="249" t="s">
        <v>187</v>
      </c>
      <c r="C62" s="280">
        <v>3068</v>
      </c>
      <c r="D62" s="4" t="s">
        <v>183</v>
      </c>
      <c r="E62" s="4"/>
      <c r="F62" s="4">
        <v>0</v>
      </c>
      <c r="G62" s="4" t="s">
        <v>180</v>
      </c>
      <c r="H62" s="4"/>
      <c r="I62" s="241">
        <f>C62*F62</f>
        <v>0</v>
      </c>
      <c r="K62" s="237"/>
    </row>
    <row r="63" spans="1:11" ht="12.75">
      <c r="A63" s="261"/>
      <c r="B63" s="249"/>
      <c r="C63" s="280">
        <v>2500</v>
      </c>
      <c r="D63" s="4" t="s">
        <v>184</v>
      </c>
      <c r="E63" s="4"/>
      <c r="F63" s="4">
        <v>3</v>
      </c>
      <c r="G63" s="4" t="s">
        <v>185</v>
      </c>
      <c r="H63" s="4"/>
      <c r="K63" s="237"/>
    </row>
    <row r="64" spans="1:11" ht="12.75">
      <c r="A64" s="281" t="s">
        <v>188</v>
      </c>
      <c r="B64" s="249" t="s">
        <v>189</v>
      </c>
      <c r="C64" s="280">
        <f>17.81-2.08</f>
        <v>15.729999999999999</v>
      </c>
      <c r="D64" s="4" t="s">
        <v>190</v>
      </c>
      <c r="E64" s="4"/>
      <c r="F64" s="4">
        <v>3</v>
      </c>
      <c r="G64" s="4" t="s">
        <v>180</v>
      </c>
      <c r="H64" s="4"/>
      <c r="I64" s="241">
        <v>45000</v>
      </c>
      <c r="K64" s="237"/>
    </row>
    <row r="65" spans="1:11" ht="12.75">
      <c r="A65" s="282"/>
      <c r="B65" s="249"/>
      <c r="C65" s="280" t="s">
        <v>191</v>
      </c>
      <c r="D65" s="4"/>
      <c r="E65" s="4"/>
      <c r="F65" s="4"/>
      <c r="G65" s="4"/>
      <c r="K65" s="237"/>
    </row>
    <row r="66" spans="1:11" ht="12.75">
      <c r="A66" s="283" t="s">
        <v>192</v>
      </c>
      <c r="B66" s="249" t="s">
        <v>193</v>
      </c>
      <c r="C66" s="280">
        <v>5200</v>
      </c>
      <c r="D66" s="4" t="s">
        <v>194</v>
      </c>
      <c r="E66" s="4"/>
      <c r="F66" s="4">
        <v>0</v>
      </c>
      <c r="G66" s="4" t="s">
        <v>180</v>
      </c>
      <c r="H66" s="4"/>
      <c r="I66" s="241">
        <v>0</v>
      </c>
      <c r="K66" s="237"/>
    </row>
    <row r="67" spans="2:11" ht="12.75">
      <c r="B67" s="249" t="s">
        <v>195</v>
      </c>
      <c r="C67" s="280">
        <v>0</v>
      </c>
      <c r="D67" s="4" t="s">
        <v>196</v>
      </c>
      <c r="E67" s="4"/>
      <c r="F67" s="4"/>
      <c r="G67" s="4"/>
      <c r="H67" s="4"/>
      <c r="I67" s="241">
        <v>0</v>
      </c>
      <c r="K67" s="237"/>
    </row>
    <row r="68" spans="1:11" ht="12.75">
      <c r="A68" s="261"/>
      <c r="B68" s="249" t="s">
        <v>197</v>
      </c>
      <c r="C68" s="280">
        <v>0</v>
      </c>
      <c r="D68" s="4" t="s">
        <v>183</v>
      </c>
      <c r="E68" s="4"/>
      <c r="F68" s="4">
        <f>'Proforma 2'!B28</f>
        <v>0</v>
      </c>
      <c r="G68" s="4" t="s">
        <v>180</v>
      </c>
      <c r="H68" s="4"/>
      <c r="K68" s="237"/>
    </row>
    <row r="69" spans="1:11" ht="12.75">
      <c r="A69" s="261"/>
      <c r="B69" s="249"/>
      <c r="C69" s="4"/>
      <c r="D69" s="4"/>
      <c r="E69" s="4"/>
      <c r="F69" s="4"/>
      <c r="G69" s="4"/>
      <c r="H69" s="4"/>
      <c r="K69" s="237"/>
    </row>
    <row r="70" spans="1:11" ht="12.75">
      <c r="A70" s="268"/>
      <c r="B70" s="259" t="s">
        <v>143</v>
      </c>
      <c r="C70" s="4"/>
      <c r="D70" s="4"/>
      <c r="E70" s="4"/>
      <c r="F70" s="4"/>
      <c r="G70" s="4"/>
      <c r="H70" s="4"/>
      <c r="K70" s="260">
        <v>101160</v>
      </c>
    </row>
    <row r="71" spans="1:11" ht="12.75">
      <c r="A71" s="243" t="s">
        <v>198</v>
      </c>
      <c r="B71" s="244"/>
      <c r="C71" s="245"/>
      <c r="D71" s="245"/>
      <c r="E71" s="245"/>
      <c r="F71" s="245"/>
      <c r="G71" s="245"/>
      <c r="H71" s="245"/>
      <c r="I71" s="246"/>
      <c r="J71" s="246"/>
      <c r="K71" s="247"/>
    </row>
    <row r="72" spans="1:11" ht="12.75">
      <c r="A72" s="261"/>
      <c r="B72" s="249" t="s">
        <v>199</v>
      </c>
      <c r="C72" s="4"/>
      <c r="D72" s="4"/>
      <c r="E72" s="4"/>
      <c r="F72" s="4"/>
      <c r="G72" s="4" t="s">
        <v>172</v>
      </c>
      <c r="H72" s="4"/>
      <c r="I72" s="241">
        <v>0</v>
      </c>
      <c r="K72" s="237"/>
    </row>
    <row r="73" spans="1:11" ht="12.75">
      <c r="A73" s="261"/>
      <c r="B73" s="249" t="s">
        <v>200</v>
      </c>
      <c r="C73" s="4"/>
      <c r="D73" s="4"/>
      <c r="E73" s="4"/>
      <c r="F73" s="4"/>
      <c r="G73" s="4" t="s">
        <v>172</v>
      </c>
      <c r="H73" s="4"/>
      <c r="K73" s="237"/>
    </row>
    <row r="74" spans="1:11" ht="12.75">
      <c r="A74" s="261"/>
      <c r="B74" s="249" t="s">
        <v>201</v>
      </c>
      <c r="C74" s="4"/>
      <c r="D74" s="4"/>
      <c r="E74" s="4"/>
      <c r="F74" s="4"/>
      <c r="G74" s="4"/>
      <c r="H74" s="4"/>
      <c r="I74" s="241">
        <v>0</v>
      </c>
      <c r="K74" s="237"/>
    </row>
    <row r="75" spans="1:11" ht="12.75">
      <c r="A75" s="261"/>
      <c r="B75" s="249" t="s">
        <v>202</v>
      </c>
      <c r="C75" s="4"/>
      <c r="D75" s="4"/>
      <c r="E75" s="4"/>
      <c r="F75" s="4"/>
      <c r="G75" s="4"/>
      <c r="H75" s="4"/>
      <c r="I75" s="241">
        <v>8000</v>
      </c>
      <c r="K75" s="237"/>
    </row>
    <row r="76" spans="1:11" ht="12.75">
      <c r="A76" s="261"/>
      <c r="B76" s="249" t="s">
        <v>203</v>
      </c>
      <c r="C76" s="4"/>
      <c r="D76" s="4"/>
      <c r="E76" s="4"/>
      <c r="F76" s="4"/>
      <c r="G76" s="4" t="s">
        <v>172</v>
      </c>
      <c r="H76" s="4"/>
      <c r="I76" s="241">
        <v>0</v>
      </c>
      <c r="K76" s="237"/>
    </row>
    <row r="77" spans="1:11" ht="12.75">
      <c r="A77" s="268"/>
      <c r="B77" s="259" t="s">
        <v>143</v>
      </c>
      <c r="C77" s="4"/>
      <c r="D77" s="4"/>
      <c r="E77" s="4"/>
      <c r="F77" s="4"/>
      <c r="G77" s="4"/>
      <c r="H77" s="4"/>
      <c r="K77" s="260">
        <f>SUM(I72:I76)</f>
        <v>8000</v>
      </c>
    </row>
    <row r="78" spans="1:11" ht="12.75">
      <c r="A78" s="243" t="s">
        <v>204</v>
      </c>
      <c r="B78" s="284"/>
      <c r="C78" s="245"/>
      <c r="D78" s="245"/>
      <c r="E78" s="245"/>
      <c r="F78" s="245"/>
      <c r="G78" s="245"/>
      <c r="H78" s="245"/>
      <c r="I78" s="246"/>
      <c r="J78" s="246"/>
      <c r="K78" s="247"/>
    </row>
    <row r="79" spans="1:11" ht="12.75">
      <c r="A79" s="258"/>
      <c r="B79" s="249" t="s">
        <v>205</v>
      </c>
      <c r="C79" s="262">
        <v>0.015</v>
      </c>
      <c r="D79" s="4" t="s">
        <v>206</v>
      </c>
      <c r="E79" s="4"/>
      <c r="F79" s="4"/>
      <c r="G79" s="4"/>
      <c r="H79" s="4"/>
      <c r="I79" s="241">
        <v>5000</v>
      </c>
      <c r="K79" s="237"/>
    </row>
    <row r="80" spans="1:11" ht="12.75">
      <c r="A80" s="258"/>
      <c r="B80" s="249" t="s">
        <v>207</v>
      </c>
      <c r="C80" s="4"/>
      <c r="D80" s="4" t="s">
        <v>208</v>
      </c>
      <c r="E80" s="4"/>
      <c r="F80" s="4"/>
      <c r="G80" s="4"/>
      <c r="H80" s="4"/>
      <c r="I80" s="241">
        <v>3000</v>
      </c>
      <c r="K80" s="237"/>
    </row>
    <row r="81" spans="1:11" ht="12.75">
      <c r="A81" s="258"/>
      <c r="B81" s="249" t="s">
        <v>209</v>
      </c>
      <c r="C81" s="4"/>
      <c r="D81" s="4"/>
      <c r="E81" s="4"/>
      <c r="F81" s="4"/>
      <c r="G81" s="4"/>
      <c r="H81" s="4"/>
      <c r="I81" s="241">
        <f>'Proforma 2'!I12</f>
        <v>40500</v>
      </c>
      <c r="K81" s="237"/>
    </row>
    <row r="82" spans="1:11" ht="12.75">
      <c r="A82" s="258"/>
      <c r="B82" s="249" t="s">
        <v>261</v>
      </c>
      <c r="C82" s="262"/>
      <c r="D82" s="4"/>
      <c r="E82" s="4"/>
      <c r="F82" s="4"/>
      <c r="G82" s="4"/>
      <c r="H82" s="4"/>
      <c r="I82" s="241">
        <v>3500</v>
      </c>
      <c r="K82" s="237"/>
    </row>
    <row r="83" spans="1:11" ht="12.75">
      <c r="A83" s="258"/>
      <c r="B83" s="249" t="s">
        <v>210</v>
      </c>
      <c r="C83" s="4"/>
      <c r="D83" s="4"/>
      <c r="E83" s="4"/>
      <c r="F83" s="4"/>
      <c r="G83" s="4" t="s">
        <v>172</v>
      </c>
      <c r="H83" s="4"/>
      <c r="K83" s="237"/>
    </row>
    <row r="84" spans="1:11" ht="12.75">
      <c r="A84" s="285" t="s">
        <v>211</v>
      </c>
      <c r="B84" s="249" t="s">
        <v>212</v>
      </c>
      <c r="C84" s="4"/>
      <c r="D84" s="4"/>
      <c r="E84" s="4"/>
      <c r="F84" s="4"/>
      <c r="G84" s="4"/>
      <c r="H84" s="4"/>
      <c r="I84" s="241">
        <v>13571</v>
      </c>
      <c r="K84" s="237"/>
    </row>
    <row r="85" spans="1:11" ht="12.75">
      <c r="A85" s="258"/>
      <c r="B85" s="249" t="s">
        <v>213</v>
      </c>
      <c r="C85" s="4"/>
      <c r="D85" s="4"/>
      <c r="E85" s="4"/>
      <c r="F85" s="4"/>
      <c r="G85" s="4"/>
      <c r="H85" s="4"/>
      <c r="I85" s="241">
        <v>0</v>
      </c>
      <c r="K85" s="237"/>
    </row>
    <row r="86" spans="1:11" ht="12.75">
      <c r="A86" s="258"/>
      <c r="B86" s="259" t="s">
        <v>143</v>
      </c>
      <c r="C86" s="4"/>
      <c r="D86" s="4"/>
      <c r="E86" s="4"/>
      <c r="F86" s="4"/>
      <c r="G86" s="4"/>
      <c r="H86" s="4"/>
      <c r="K86" s="260">
        <f>SUM(I79:I85)</f>
        <v>65571</v>
      </c>
    </row>
    <row r="87" spans="1:11" ht="12.75">
      <c r="A87" s="243" t="s">
        <v>214</v>
      </c>
      <c r="B87" s="244"/>
      <c r="C87" s="245"/>
      <c r="D87" s="245"/>
      <c r="E87" s="245"/>
      <c r="F87" s="245"/>
      <c r="G87" s="245"/>
      <c r="H87" s="245"/>
      <c r="I87" s="246"/>
      <c r="J87" s="246"/>
      <c r="K87" s="247"/>
    </row>
    <row r="88" spans="1:11" ht="12.75">
      <c r="A88" s="261"/>
      <c r="B88" s="249" t="s">
        <v>215</v>
      </c>
      <c r="C88" s="262">
        <v>0</v>
      </c>
      <c r="D88" s="4"/>
      <c r="E88" s="4"/>
      <c r="F88" s="4"/>
      <c r="G88" s="4"/>
      <c r="H88" s="4"/>
      <c r="I88" s="241">
        <f>C88*'Proforma 2'!H24</f>
        <v>0</v>
      </c>
      <c r="K88" s="237"/>
    </row>
    <row r="89" spans="1:11" ht="12.75">
      <c r="A89" s="261"/>
      <c r="B89" s="249" t="s">
        <v>216</v>
      </c>
      <c r="C89" s="4"/>
      <c r="D89" s="4"/>
      <c r="E89" s="4"/>
      <c r="F89" s="4"/>
      <c r="G89" s="4"/>
      <c r="H89" s="4"/>
      <c r="K89" s="237"/>
    </row>
    <row r="90" spans="1:11" ht="12.75">
      <c r="A90" s="261"/>
      <c r="B90" s="249" t="s">
        <v>217</v>
      </c>
      <c r="C90" s="4"/>
      <c r="D90" s="4"/>
      <c r="E90" s="4"/>
      <c r="F90" s="4"/>
      <c r="G90" s="4"/>
      <c r="H90" s="4"/>
      <c r="K90" s="237"/>
    </row>
    <row r="91" spans="1:11" ht="12.75">
      <c r="A91" s="261"/>
      <c r="B91" s="249"/>
      <c r="C91" s="4"/>
      <c r="D91" s="4"/>
      <c r="E91" s="4"/>
      <c r="F91" s="4"/>
      <c r="G91" s="4"/>
      <c r="H91" s="4"/>
      <c r="K91" s="237"/>
    </row>
    <row r="92" spans="1:11" ht="12.75">
      <c r="A92" s="286"/>
      <c r="B92" s="287" t="s">
        <v>143</v>
      </c>
      <c r="C92" s="196"/>
      <c r="D92" s="196"/>
      <c r="E92" s="196"/>
      <c r="F92" s="196"/>
      <c r="G92" s="196"/>
      <c r="H92" s="196"/>
      <c r="I92" s="271"/>
      <c r="J92" s="271"/>
      <c r="K92" s="260">
        <f>SUM(I88:I91)</f>
        <v>0</v>
      </c>
    </row>
    <row r="93" spans="1:11" ht="12.75">
      <c r="A93" s="288" t="s">
        <v>218</v>
      </c>
      <c r="B93" s="289"/>
      <c r="C93" s="290"/>
      <c r="D93" s="290"/>
      <c r="E93" s="290"/>
      <c r="F93" s="290"/>
      <c r="G93" s="290"/>
      <c r="H93" s="290"/>
      <c r="I93" s="291"/>
      <c r="J93" s="291"/>
      <c r="K93" s="292"/>
    </row>
    <row r="94" spans="1:11" ht="12.75">
      <c r="A94" s="261"/>
      <c r="B94" s="249" t="s">
        <v>219</v>
      </c>
      <c r="C94" s="4"/>
      <c r="D94" s="4"/>
      <c r="E94" s="4"/>
      <c r="F94" s="4"/>
      <c r="G94" s="4"/>
      <c r="H94" s="4"/>
      <c r="I94" s="241">
        <v>0</v>
      </c>
      <c r="K94" s="237"/>
    </row>
    <row r="95" spans="1:11" ht="12.75">
      <c r="A95" s="261"/>
      <c r="B95" s="249" t="s">
        <v>220</v>
      </c>
      <c r="C95" s="4"/>
      <c r="D95" s="4"/>
      <c r="E95" s="4"/>
      <c r="F95" s="4"/>
      <c r="G95" s="4"/>
      <c r="H95" s="4"/>
      <c r="I95" s="241">
        <v>0</v>
      </c>
      <c r="K95" s="237"/>
    </row>
    <row r="96" spans="1:11" ht="12.75">
      <c r="A96" s="261"/>
      <c r="B96" s="249" t="s">
        <v>221</v>
      </c>
      <c r="C96" s="4"/>
      <c r="D96" s="4"/>
      <c r="E96" s="4"/>
      <c r="F96" s="4"/>
      <c r="G96" s="4"/>
      <c r="H96" s="4"/>
      <c r="I96" s="241">
        <v>0</v>
      </c>
      <c r="K96" s="237"/>
    </row>
    <row r="97" spans="1:11" ht="12.75">
      <c r="A97" s="261"/>
      <c r="B97" s="249" t="s">
        <v>222</v>
      </c>
      <c r="C97" s="4"/>
      <c r="D97" s="4"/>
      <c r="E97" s="4"/>
      <c r="F97" s="4"/>
      <c r="G97" s="4"/>
      <c r="H97" s="4"/>
      <c r="I97" s="241">
        <v>0</v>
      </c>
      <c r="K97" s="237"/>
    </row>
    <row r="98" spans="1:11" ht="12.75">
      <c r="A98" s="261"/>
      <c r="B98" s="249" t="s">
        <v>223</v>
      </c>
      <c r="C98" s="4"/>
      <c r="D98" s="4"/>
      <c r="E98" s="4"/>
      <c r="F98" s="4"/>
      <c r="G98" s="4"/>
      <c r="H98" s="4"/>
      <c r="I98" s="241">
        <v>0</v>
      </c>
      <c r="K98" s="237"/>
    </row>
    <row r="99" spans="1:11" ht="12.75">
      <c r="A99" s="261"/>
      <c r="B99" s="249" t="s">
        <v>224</v>
      </c>
      <c r="C99" s="4" t="s">
        <v>225</v>
      </c>
      <c r="D99" s="4"/>
      <c r="E99" s="4"/>
      <c r="F99" s="4"/>
      <c r="G99" s="4"/>
      <c r="H99" s="111">
        <v>0</v>
      </c>
      <c r="I99" s="241">
        <f>H99*(3*('Proforma 2'!E53+'Proforma 2'!E54+'Proforma 2'!E55+'Proforma 2'!E57))</f>
        <v>0</v>
      </c>
      <c r="K99" s="237"/>
    </row>
    <row r="100" spans="1:11" ht="12.75">
      <c r="A100" s="261"/>
      <c r="B100" s="249" t="s">
        <v>226</v>
      </c>
      <c r="C100" s="4"/>
      <c r="D100" s="4"/>
      <c r="E100" s="4"/>
      <c r="F100" s="4"/>
      <c r="G100" s="4"/>
      <c r="H100" s="4"/>
      <c r="K100" s="237"/>
    </row>
    <row r="101" spans="1:11" ht="12.75">
      <c r="A101" s="261"/>
      <c r="B101" s="249"/>
      <c r="C101" s="4"/>
      <c r="D101" s="4"/>
      <c r="E101" s="4"/>
      <c r="F101" s="4"/>
      <c r="G101" s="4"/>
      <c r="H101" s="4"/>
      <c r="K101" s="237"/>
    </row>
    <row r="102" spans="1:11" ht="12.75">
      <c r="A102" s="293"/>
      <c r="B102" s="287" t="s">
        <v>143</v>
      </c>
      <c r="C102" s="196"/>
      <c r="D102" s="196"/>
      <c r="E102" s="196"/>
      <c r="F102" s="196"/>
      <c r="G102" s="196"/>
      <c r="H102" s="196"/>
      <c r="I102" s="271"/>
      <c r="J102" s="271"/>
      <c r="K102" s="260">
        <f>SUM(I94:I100)</f>
        <v>0</v>
      </c>
    </row>
    <row r="103" spans="1:11" ht="12.75">
      <c r="A103" s="236"/>
      <c r="B103" s="4"/>
      <c r="C103" s="4"/>
      <c r="D103" s="4"/>
      <c r="E103" s="4"/>
      <c r="F103" s="4"/>
      <c r="G103" s="4"/>
      <c r="H103" s="4"/>
      <c r="K103" s="237"/>
    </row>
    <row r="104" spans="1:11" ht="12.75">
      <c r="A104" s="294" t="s">
        <v>227</v>
      </c>
      <c r="B104" s="295"/>
      <c r="C104" s="245"/>
      <c r="D104" s="245"/>
      <c r="E104" s="245"/>
      <c r="F104" s="245"/>
      <c r="G104" s="245"/>
      <c r="H104" s="245"/>
      <c r="I104" s="246">
        <f>K104/(K4+K19)</f>
        <v>0.25823369258090906</v>
      </c>
      <c r="J104" s="246"/>
      <c r="K104" s="296">
        <f>SUM(K31:K102)</f>
        <v>494495.5714285714</v>
      </c>
    </row>
    <row r="105" spans="1:11" ht="12.75">
      <c r="A105" s="294" t="s">
        <v>262</v>
      </c>
      <c r="B105" s="295"/>
      <c r="C105" s="245"/>
      <c r="D105" s="245"/>
      <c r="E105" s="245"/>
      <c r="F105" s="245"/>
      <c r="G105" s="245"/>
      <c r="H105" s="245"/>
      <c r="I105" s="246"/>
      <c r="J105" s="246"/>
      <c r="K105" s="296">
        <v>5000</v>
      </c>
    </row>
    <row r="106" spans="1:11" ht="12.75">
      <c r="A106" s="236"/>
      <c r="B106" s="4"/>
      <c r="C106" s="4"/>
      <c r="D106" s="4"/>
      <c r="E106" s="4"/>
      <c r="F106" s="4"/>
      <c r="G106" s="4"/>
      <c r="H106" s="4"/>
      <c r="K106" s="237"/>
    </row>
    <row r="107" spans="1:11" ht="13.5">
      <c r="A107" s="297" t="s">
        <v>47</v>
      </c>
      <c r="B107" s="298"/>
      <c r="C107" s="299"/>
      <c r="D107" s="299"/>
      <c r="E107" s="299"/>
      <c r="F107" s="299"/>
      <c r="G107" s="299"/>
      <c r="H107" s="299"/>
      <c r="I107" s="300"/>
      <c r="J107" s="300"/>
      <c r="K107" s="301">
        <f>SUM(K4:K102)+K105</f>
        <v>2414410.5714285714</v>
      </c>
    </row>
  </sheetData>
  <sheetProtection selectLockedCells="1" selectUnlockedCells="1"/>
  <mergeCells count="2">
    <mergeCell ref="A1:K1"/>
    <mergeCell ref="A3:K3"/>
  </mergeCells>
  <hyperlinks>
    <hyperlink ref="A64" r:id="rId1" display="http://www.portlandtransportation.org/SystemDevelopmentCharge/Rates.htm"/>
    <hyperlink ref="A66" r:id="rId2" display="http://www.portlandparks.org/Planning/SystemDevCharge.htm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17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7"/>
  <sheetViews>
    <sheetView windowProtection="1" zoomScale="85" zoomScaleNormal="85" zoomScalePageLayoutView="0" workbookViewId="0" topLeftCell="A1">
      <selection activeCell="A1" sqref="A1:D1"/>
    </sheetView>
  </sheetViews>
  <sheetFormatPr defaultColWidth="8.8515625" defaultRowHeight="12.75"/>
  <cols>
    <col min="1" max="1" width="4.7109375" style="0" customWidth="1"/>
    <col min="2" max="2" width="13.28125" style="0" customWidth="1"/>
    <col min="3" max="3" width="15.421875" style="0" customWidth="1"/>
    <col min="4" max="4" width="14.00390625" style="0" customWidth="1"/>
    <col min="5" max="5" width="12.140625" style="0" customWidth="1"/>
    <col min="6" max="6" width="14.421875" style="0" customWidth="1"/>
    <col min="7" max="8" width="14.140625" style="0" customWidth="1"/>
    <col min="9" max="9" width="13.421875" style="0" customWidth="1"/>
    <col min="10" max="10" width="13.00390625" style="0" customWidth="1"/>
  </cols>
  <sheetData>
    <row r="1" spans="1:10" ht="24" customHeight="1">
      <c r="A1" s="372" t="s">
        <v>228</v>
      </c>
      <c r="B1" s="372"/>
      <c r="C1" s="372"/>
      <c r="D1" s="372"/>
      <c r="E1" s="302"/>
      <c r="F1" s="302"/>
      <c r="G1" s="302"/>
      <c r="H1" s="302"/>
      <c r="I1" s="302"/>
      <c r="J1" s="302"/>
    </row>
    <row r="2" spans="1:10" ht="3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0.25" customHeight="1">
      <c r="A3" s="302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4.25" customHeight="1">
      <c r="A4" s="302"/>
      <c r="B4" s="373" t="s">
        <v>229</v>
      </c>
      <c r="C4" s="373"/>
      <c r="D4" s="373"/>
      <c r="E4" s="302"/>
      <c r="F4" s="373" t="s">
        <v>230</v>
      </c>
      <c r="G4" s="373"/>
      <c r="H4" s="373"/>
      <c r="I4" s="306"/>
      <c r="J4" s="302"/>
    </row>
    <row r="5" spans="1:10" ht="12.75">
      <c r="A5" s="302"/>
      <c r="B5" s="307"/>
      <c r="C5" s="308" t="s">
        <v>231</v>
      </c>
      <c r="D5" s="309">
        <f>'Proforma 2'!H24</f>
        <v>1300000</v>
      </c>
      <c r="E5" s="302"/>
      <c r="F5" s="307"/>
      <c r="G5" s="308" t="s">
        <v>232</v>
      </c>
      <c r="H5" s="310">
        <f>IF(Values_Entered_3,-PMT(Interest_Rate_3/Num_Pmt_Per_Year_3,Loan_Years_3*Num_Pmt_Per_Year_3,Loan_Amount_3),"")</f>
        <v>8863.821186236893</v>
      </c>
      <c r="I5" s="311"/>
      <c r="J5" s="302"/>
    </row>
    <row r="6" spans="1:10" ht="12.75">
      <c r="A6" s="302"/>
      <c r="B6" s="307"/>
      <c r="C6" s="308" t="s">
        <v>233</v>
      </c>
      <c r="D6" s="312">
        <f>'Proforma 2'!H16</f>
        <v>0.06</v>
      </c>
      <c r="E6" s="302"/>
      <c r="F6" s="307"/>
      <c r="G6" s="308" t="s">
        <v>234</v>
      </c>
      <c r="H6" s="313">
        <f>IF(Values_Entered_3,Loan_Years_3*Num_Pmt_Per_Year_3,"")</f>
        <v>265</v>
      </c>
      <c r="I6" s="314"/>
      <c r="J6" s="302"/>
    </row>
    <row r="7" spans="1:10" ht="12.75">
      <c r="A7" s="302"/>
      <c r="B7" s="307"/>
      <c r="C7" s="308" t="s">
        <v>235</v>
      </c>
      <c r="D7" s="315">
        <f>'Proforma 2'!H17</f>
        <v>22.083333333333332</v>
      </c>
      <c r="E7" s="302"/>
      <c r="F7" s="307"/>
      <c r="G7" s="308" t="s">
        <v>236</v>
      </c>
      <c r="H7" s="313">
        <f>IF(Values_Entered_3,Number_of_Payments_3,"")</f>
        <v>265</v>
      </c>
      <c r="I7" s="314"/>
      <c r="J7" s="302"/>
    </row>
    <row r="8" spans="1:10" ht="12.75">
      <c r="A8" s="302"/>
      <c r="B8" s="307"/>
      <c r="C8" s="308" t="s">
        <v>237</v>
      </c>
      <c r="D8" s="315">
        <v>12</v>
      </c>
      <c r="E8" s="302"/>
      <c r="F8" s="307"/>
      <c r="G8" s="308" t="s">
        <v>238</v>
      </c>
      <c r="H8" s="310">
        <f>IF(Values_Entered_3,SUMIF(Beg_Bal_3,"&gt;0",Extra_Pay_3),"")</f>
        <v>0</v>
      </c>
      <c r="I8" s="311"/>
      <c r="J8" s="302"/>
    </row>
    <row r="9" spans="1:10" ht="12.75">
      <c r="A9" s="302"/>
      <c r="B9" s="307"/>
      <c r="C9" s="308" t="s">
        <v>239</v>
      </c>
      <c r="D9" s="316">
        <v>39083</v>
      </c>
      <c r="E9" s="302"/>
      <c r="F9" s="317"/>
      <c r="G9" s="318" t="s">
        <v>240</v>
      </c>
      <c r="H9" s="310">
        <f>IF(Values_Entered_3,SUMIF(Beg_Bal_3,"&gt;0",Int_3),"")</f>
        <v>1048912.6143527783</v>
      </c>
      <c r="I9" s="311"/>
      <c r="J9" s="302"/>
    </row>
    <row r="10" spans="1:10" ht="12.75">
      <c r="A10" s="302"/>
      <c r="B10" s="317"/>
      <c r="C10" s="318" t="s">
        <v>241</v>
      </c>
      <c r="D10" s="319">
        <v>0</v>
      </c>
      <c r="E10" s="302"/>
      <c r="F10" s="305"/>
      <c r="G10" s="305"/>
      <c r="H10" s="305"/>
      <c r="I10" s="305"/>
      <c r="J10" s="302"/>
    </row>
    <row r="11" spans="1:10" ht="12.75">
      <c r="A11" s="302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302"/>
      <c r="B12" s="320" t="s">
        <v>242</v>
      </c>
      <c r="C12" s="374"/>
      <c r="D12" s="374"/>
      <c r="E12" s="321"/>
      <c r="F12" s="305"/>
      <c r="G12" s="305"/>
      <c r="H12" s="305"/>
      <c r="I12" s="305"/>
      <c r="J12" s="305"/>
    </row>
    <row r="13" spans="1:10" ht="12.75">
      <c r="A13" s="302"/>
      <c r="B13" s="320"/>
      <c r="C13" s="322"/>
      <c r="D13" s="322"/>
      <c r="E13" s="305"/>
      <c r="F13" s="305"/>
      <c r="G13" s="305"/>
      <c r="H13" s="305"/>
      <c r="I13" s="305"/>
      <c r="J13" s="305"/>
    </row>
    <row r="14" spans="1:10" ht="6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</row>
    <row r="15" spans="1:10" ht="3.75" customHeight="1">
      <c r="A15" s="302"/>
      <c r="B15" s="305"/>
      <c r="C15" s="305"/>
      <c r="D15" s="305"/>
      <c r="E15" s="305"/>
      <c r="F15" s="305"/>
      <c r="G15" s="305"/>
      <c r="H15" s="305"/>
      <c r="I15" s="305"/>
      <c r="J15" s="305"/>
    </row>
    <row r="16" spans="1:10" s="325" customFormat="1" ht="28.5" customHeight="1">
      <c r="A16" s="323" t="s">
        <v>243</v>
      </c>
      <c r="B16" s="324" t="s">
        <v>244</v>
      </c>
      <c r="C16" s="324" t="s">
        <v>245</v>
      </c>
      <c r="D16" s="324" t="s">
        <v>246</v>
      </c>
      <c r="E16" s="324" t="s">
        <v>247</v>
      </c>
      <c r="F16" s="324" t="s">
        <v>248</v>
      </c>
      <c r="G16" s="324" t="s">
        <v>249</v>
      </c>
      <c r="H16" s="324" t="s">
        <v>250</v>
      </c>
      <c r="I16" s="324" t="s">
        <v>251</v>
      </c>
      <c r="J16" s="324" t="s">
        <v>252</v>
      </c>
    </row>
    <row r="17" spans="1:10" ht="6" customHeight="1">
      <c r="A17" s="326"/>
      <c r="B17" s="327"/>
      <c r="C17" s="327"/>
      <c r="D17" s="327"/>
      <c r="E17" s="327"/>
      <c r="F17" s="327"/>
      <c r="G17" s="327"/>
      <c r="H17" s="327"/>
      <c r="I17" s="327"/>
      <c r="J17" s="328"/>
    </row>
    <row r="18" spans="1:10" ht="12.75">
      <c r="A18" s="329">
        <f>IF(Values_Entered_3,1,"")</f>
        <v>1</v>
      </c>
      <c r="B18" s="330">
        <f aca="true" t="shared" si="0" ref="B18:B81">IF(Pay_Num_3&lt;&gt;"",DATE(YEAR(Loan_Start_3),MONTH(Loan_Start_3)+(Pay_Num_3)*12/Num_Pmt_Per_Year_3,DAY(Loan_Start_3)),"")</f>
        <v>39114</v>
      </c>
      <c r="C18" s="331">
        <f>IF(Values_Entered_3,Loan_Amount_3,"")</f>
        <v>1300000</v>
      </c>
      <c r="D18" s="331">
        <f aca="true" t="shared" si="1" ref="D18:D81">IF(Pay_Num_3&lt;&gt;"",Scheduled_Monthly_Payment_3,"")</f>
        <v>8863.821186236893</v>
      </c>
      <c r="E18" s="331">
        <f aca="true" t="shared" si="2" ref="E18:E81">IF(AND(Pay_Num_3&lt;&gt;"",Sched_Pay_3+Scheduled_Extra_Payments_3&lt;Beg_Bal_3),Scheduled_Extra_Payments_3,IF(AND(Pay_Num_3&lt;&gt;"",Beg_Bal_3-Sched_Pay_3&gt;0),Beg_Bal_3-Sched_Pay_3,IF(Pay_Num_3&lt;&gt;"",0,"")))</f>
        <v>0</v>
      </c>
      <c r="F18" s="331">
        <f aca="true" t="shared" si="3" ref="F18:F81">IF(AND(Pay_Num_3&lt;&gt;"",Sched_Pay_3+Extra_Pay_3&lt;Beg_Bal_3),Sched_Pay_3+Extra_Pay_3,IF(Pay_Num_3&lt;&gt;"",Beg_Bal_3,""))</f>
        <v>8863.821186236893</v>
      </c>
      <c r="G18" s="331">
        <f aca="true" t="shared" si="4" ref="G18:G81">IF(Pay_Num_3&lt;&gt;"",Total_Pay_3-Int_3,"")</f>
        <v>2363.8211862368935</v>
      </c>
      <c r="H18" s="331">
        <f>IF(Pay_Num_3&lt;&gt;"",Beg_Bal_3*(Interest_Rate_3/Num_Pmt_Per_Year_3),"")</f>
        <v>6500</v>
      </c>
      <c r="I18" s="331">
        <f aca="true" t="shared" si="5" ref="I18:I81">IF(AND(Pay_Num_3&lt;&gt;"",Sched_Pay_3+Extra_Pay_3&lt;Beg_Bal_3),Beg_Bal_3-Princ_3,IF(Pay_Num_3&lt;&gt;"",0,""))</f>
        <v>1297636.1788137632</v>
      </c>
      <c r="J18" s="331">
        <f>SUM($H$18:$H18)</f>
        <v>6500</v>
      </c>
    </row>
    <row r="19" spans="1:10" ht="12.75" customHeight="1">
      <c r="A19" s="329">
        <f aca="true" t="shared" si="6" ref="A19:A82">IF(Values_Entered_3,A18+1,"")</f>
        <v>2</v>
      </c>
      <c r="B19" s="330">
        <f t="shared" si="0"/>
        <v>39142</v>
      </c>
      <c r="C19" s="332">
        <f aca="true" t="shared" si="7" ref="C19:C82">IF(Pay_Num_3&lt;&gt;"",I18,"")</f>
        <v>1297636.1788137632</v>
      </c>
      <c r="D19" s="332">
        <f t="shared" si="1"/>
        <v>8863.821186236893</v>
      </c>
      <c r="E19" s="333">
        <f t="shared" si="2"/>
        <v>0</v>
      </c>
      <c r="F19" s="332">
        <f t="shared" si="3"/>
        <v>8863.821186236893</v>
      </c>
      <c r="G19" s="332">
        <f t="shared" si="4"/>
        <v>2375.6402921680774</v>
      </c>
      <c r="H19" s="332">
        <f aca="true" t="shared" si="8" ref="H19:H82">IF(Pay_Num_3&lt;&gt;"",Beg_Bal_3*Interest_Rate_3/Num_Pmt_Per_Year_3,"")</f>
        <v>6488.180894068816</v>
      </c>
      <c r="I19" s="332">
        <f t="shared" si="5"/>
        <v>1295260.538521595</v>
      </c>
      <c r="J19" s="332">
        <f>SUM($H$18:$H19)</f>
        <v>12988.180894068817</v>
      </c>
    </row>
    <row r="20" spans="1:10" ht="12.75" customHeight="1">
      <c r="A20" s="329">
        <f t="shared" si="6"/>
        <v>3</v>
      </c>
      <c r="B20" s="330">
        <f t="shared" si="0"/>
        <v>39173</v>
      </c>
      <c r="C20" s="332">
        <f t="shared" si="7"/>
        <v>1295260.538521595</v>
      </c>
      <c r="D20" s="332">
        <f t="shared" si="1"/>
        <v>8863.821186236893</v>
      </c>
      <c r="E20" s="333">
        <f t="shared" si="2"/>
        <v>0</v>
      </c>
      <c r="F20" s="332">
        <f t="shared" si="3"/>
        <v>8863.821186236893</v>
      </c>
      <c r="G20" s="332">
        <f t="shared" si="4"/>
        <v>2387.518493628918</v>
      </c>
      <c r="H20" s="332">
        <f t="shared" si="8"/>
        <v>6476.302692607976</v>
      </c>
      <c r="I20" s="332">
        <f t="shared" si="5"/>
        <v>1292873.0200279662</v>
      </c>
      <c r="J20" s="332">
        <f>SUM($H$18:$H20)</f>
        <v>19464.483586676793</v>
      </c>
    </row>
    <row r="21" spans="1:10" ht="12.75">
      <c r="A21" s="329">
        <f t="shared" si="6"/>
        <v>4</v>
      </c>
      <c r="B21" s="330">
        <f t="shared" si="0"/>
        <v>39203</v>
      </c>
      <c r="C21" s="332">
        <f t="shared" si="7"/>
        <v>1292873.0200279662</v>
      </c>
      <c r="D21" s="332">
        <f t="shared" si="1"/>
        <v>8863.821186236893</v>
      </c>
      <c r="E21" s="333">
        <f t="shared" si="2"/>
        <v>0</v>
      </c>
      <c r="F21" s="332">
        <f t="shared" si="3"/>
        <v>8863.821186236893</v>
      </c>
      <c r="G21" s="332">
        <f t="shared" si="4"/>
        <v>2399.4560860970623</v>
      </c>
      <c r="H21" s="332">
        <f t="shared" si="8"/>
        <v>6464.365100139831</v>
      </c>
      <c r="I21" s="332">
        <f t="shared" si="5"/>
        <v>1290473.5639418692</v>
      </c>
      <c r="J21" s="332">
        <f>SUM($H$18:$H21)</f>
        <v>25928.848686816626</v>
      </c>
    </row>
    <row r="22" spans="1:10" ht="12.75">
      <c r="A22" s="329">
        <f t="shared" si="6"/>
        <v>5</v>
      </c>
      <c r="B22" s="330">
        <f t="shared" si="0"/>
        <v>39234</v>
      </c>
      <c r="C22" s="332">
        <f t="shared" si="7"/>
        <v>1290473.5639418692</v>
      </c>
      <c r="D22" s="332">
        <f t="shared" si="1"/>
        <v>8863.821186236893</v>
      </c>
      <c r="E22" s="333">
        <f t="shared" si="2"/>
        <v>0</v>
      </c>
      <c r="F22" s="332">
        <f t="shared" si="3"/>
        <v>8863.821186236893</v>
      </c>
      <c r="G22" s="332">
        <f t="shared" si="4"/>
        <v>2411.4533665275476</v>
      </c>
      <c r="H22" s="332">
        <f t="shared" si="8"/>
        <v>6452.367819709346</v>
      </c>
      <c r="I22" s="332">
        <f t="shared" si="5"/>
        <v>1288062.1105753416</v>
      </c>
      <c r="J22" s="332">
        <f>SUM($H$18:$H22)</f>
        <v>32381.216506525972</v>
      </c>
    </row>
    <row r="23" spans="1:10" ht="12.75">
      <c r="A23" s="329">
        <f t="shared" si="6"/>
        <v>6</v>
      </c>
      <c r="B23" s="330">
        <f t="shared" si="0"/>
        <v>39264</v>
      </c>
      <c r="C23" s="332">
        <f t="shared" si="7"/>
        <v>1288062.1105753416</v>
      </c>
      <c r="D23" s="332">
        <f t="shared" si="1"/>
        <v>8863.821186236893</v>
      </c>
      <c r="E23" s="333">
        <f t="shared" si="2"/>
        <v>0</v>
      </c>
      <c r="F23" s="332">
        <f t="shared" si="3"/>
        <v>8863.821186236893</v>
      </c>
      <c r="G23" s="332">
        <f t="shared" si="4"/>
        <v>2423.5106333601852</v>
      </c>
      <c r="H23" s="332">
        <f t="shared" si="8"/>
        <v>6440.310552876708</v>
      </c>
      <c r="I23" s="332">
        <f t="shared" si="5"/>
        <v>1285638.5999419815</v>
      </c>
      <c r="J23" s="332">
        <f>SUM($H$18:$H23)</f>
        <v>38821.52705940268</v>
      </c>
    </row>
    <row r="24" spans="1:10" ht="12.75">
      <c r="A24" s="329">
        <f t="shared" si="6"/>
        <v>7</v>
      </c>
      <c r="B24" s="330">
        <f t="shared" si="0"/>
        <v>39295</v>
      </c>
      <c r="C24" s="332">
        <f t="shared" si="7"/>
        <v>1285638.5999419815</v>
      </c>
      <c r="D24" s="332">
        <f t="shared" si="1"/>
        <v>8863.821186236893</v>
      </c>
      <c r="E24" s="333">
        <f t="shared" si="2"/>
        <v>0</v>
      </c>
      <c r="F24" s="332">
        <f t="shared" si="3"/>
        <v>8863.821186236893</v>
      </c>
      <c r="G24" s="332">
        <f t="shared" si="4"/>
        <v>2435.6281865269866</v>
      </c>
      <c r="H24" s="332">
        <f t="shared" si="8"/>
        <v>6428.192999709907</v>
      </c>
      <c r="I24" s="332">
        <f t="shared" si="5"/>
        <v>1283202.9717554545</v>
      </c>
      <c r="J24" s="332">
        <f>SUM($H$18:$H24)</f>
        <v>45249.72005911259</v>
      </c>
    </row>
    <row r="25" spans="1:10" ht="12.75">
      <c r="A25" s="329">
        <f t="shared" si="6"/>
        <v>8</v>
      </c>
      <c r="B25" s="330">
        <f t="shared" si="0"/>
        <v>39326</v>
      </c>
      <c r="C25" s="332">
        <f t="shared" si="7"/>
        <v>1283202.9717554545</v>
      </c>
      <c r="D25" s="332">
        <f t="shared" si="1"/>
        <v>8863.821186236893</v>
      </c>
      <c r="E25" s="333">
        <f t="shared" si="2"/>
        <v>0</v>
      </c>
      <c r="F25" s="332">
        <f t="shared" si="3"/>
        <v>8863.821186236893</v>
      </c>
      <c r="G25" s="332">
        <f t="shared" si="4"/>
        <v>2447.8063274596216</v>
      </c>
      <c r="H25" s="332">
        <f t="shared" si="8"/>
        <v>6416.014858777272</v>
      </c>
      <c r="I25" s="332">
        <f t="shared" si="5"/>
        <v>1280755.165427995</v>
      </c>
      <c r="J25" s="332">
        <f>SUM($H$18:$H25)</f>
        <v>51665.73491788986</v>
      </c>
    </row>
    <row r="26" spans="1:10" ht="12.75">
      <c r="A26" s="329">
        <f t="shared" si="6"/>
        <v>9</v>
      </c>
      <c r="B26" s="330">
        <f t="shared" si="0"/>
        <v>39356</v>
      </c>
      <c r="C26" s="332">
        <f t="shared" si="7"/>
        <v>1280755.165427995</v>
      </c>
      <c r="D26" s="332">
        <f t="shared" si="1"/>
        <v>8863.821186236893</v>
      </c>
      <c r="E26" s="333">
        <f t="shared" si="2"/>
        <v>0</v>
      </c>
      <c r="F26" s="332">
        <f t="shared" si="3"/>
        <v>8863.821186236893</v>
      </c>
      <c r="G26" s="332">
        <f t="shared" si="4"/>
        <v>2460.04535909692</v>
      </c>
      <c r="H26" s="332">
        <f t="shared" si="8"/>
        <v>6403.775827139973</v>
      </c>
      <c r="I26" s="332">
        <f t="shared" si="5"/>
        <v>1278295.120068898</v>
      </c>
      <c r="J26" s="332">
        <f>SUM($H$18:$H26)</f>
        <v>58069.51074502983</v>
      </c>
    </row>
    <row r="27" spans="1:10" ht="12.75">
      <c r="A27" s="329">
        <f t="shared" si="6"/>
        <v>10</v>
      </c>
      <c r="B27" s="330">
        <f t="shared" si="0"/>
        <v>39387</v>
      </c>
      <c r="C27" s="332">
        <f t="shared" si="7"/>
        <v>1278295.120068898</v>
      </c>
      <c r="D27" s="332">
        <f t="shared" si="1"/>
        <v>8863.821186236893</v>
      </c>
      <c r="E27" s="333">
        <f t="shared" si="2"/>
        <v>0</v>
      </c>
      <c r="F27" s="332">
        <f t="shared" si="3"/>
        <v>8863.821186236893</v>
      </c>
      <c r="G27" s="332">
        <f t="shared" si="4"/>
        <v>2472.3455858924044</v>
      </c>
      <c r="H27" s="332">
        <f t="shared" si="8"/>
        <v>6391.475600344489</v>
      </c>
      <c r="I27" s="332">
        <f t="shared" si="5"/>
        <v>1275822.7744830055</v>
      </c>
      <c r="J27" s="332">
        <f>SUM($H$18:$H27)</f>
        <v>64460.98634537432</v>
      </c>
    </row>
    <row r="28" spans="1:10" ht="12.75">
      <c r="A28" s="329">
        <f t="shared" si="6"/>
        <v>11</v>
      </c>
      <c r="B28" s="330">
        <f t="shared" si="0"/>
        <v>39417</v>
      </c>
      <c r="C28" s="332">
        <f t="shared" si="7"/>
        <v>1275822.7744830055</v>
      </c>
      <c r="D28" s="332">
        <f t="shared" si="1"/>
        <v>8863.821186236893</v>
      </c>
      <c r="E28" s="333">
        <f t="shared" si="2"/>
        <v>0</v>
      </c>
      <c r="F28" s="332">
        <f t="shared" si="3"/>
        <v>8863.821186236893</v>
      </c>
      <c r="G28" s="332">
        <f t="shared" si="4"/>
        <v>2484.7073138218666</v>
      </c>
      <c r="H28" s="332">
        <f t="shared" si="8"/>
        <v>6379.113872415027</v>
      </c>
      <c r="I28" s="332">
        <f t="shared" si="5"/>
        <v>1273338.0671691836</v>
      </c>
      <c r="J28" s="332">
        <f>SUM($H$18:$H28)</f>
        <v>70840.10021778934</v>
      </c>
    </row>
    <row r="29" spans="1:10" ht="12.75">
      <c r="A29" s="329">
        <f t="shared" si="6"/>
        <v>12</v>
      </c>
      <c r="B29" s="330">
        <f t="shared" si="0"/>
        <v>39448</v>
      </c>
      <c r="C29" s="332">
        <f t="shared" si="7"/>
        <v>1273338.0671691836</v>
      </c>
      <c r="D29" s="332">
        <f t="shared" si="1"/>
        <v>8863.821186236893</v>
      </c>
      <c r="E29" s="333">
        <f t="shared" si="2"/>
        <v>0</v>
      </c>
      <c r="F29" s="332">
        <f t="shared" si="3"/>
        <v>8863.821186236893</v>
      </c>
      <c r="G29" s="332">
        <f t="shared" si="4"/>
        <v>2497.130850390976</v>
      </c>
      <c r="H29" s="332">
        <f t="shared" si="8"/>
        <v>6366.690335845918</v>
      </c>
      <c r="I29" s="332">
        <f t="shared" si="5"/>
        <v>1270840.9363187926</v>
      </c>
      <c r="J29" s="332">
        <f>SUM($H$18:$H29)</f>
        <v>77206.79055363526</v>
      </c>
    </row>
    <row r="30" spans="1:10" ht="12.75">
      <c r="A30" s="329">
        <f t="shared" si="6"/>
        <v>13</v>
      </c>
      <c r="B30" s="330">
        <f t="shared" si="0"/>
        <v>39479</v>
      </c>
      <c r="C30" s="332">
        <f t="shared" si="7"/>
        <v>1270840.9363187926</v>
      </c>
      <c r="D30" s="332">
        <f t="shared" si="1"/>
        <v>8863.821186236893</v>
      </c>
      <c r="E30" s="333">
        <f t="shared" si="2"/>
        <v>0</v>
      </c>
      <c r="F30" s="332">
        <f t="shared" si="3"/>
        <v>8863.821186236893</v>
      </c>
      <c r="G30" s="332">
        <f t="shared" si="4"/>
        <v>2509.6165046429314</v>
      </c>
      <c r="H30" s="332">
        <f t="shared" si="8"/>
        <v>6354.204681593962</v>
      </c>
      <c r="I30" s="332">
        <f t="shared" si="5"/>
        <v>1268331.3198141498</v>
      </c>
      <c r="J30" s="332">
        <f>SUM($H$18:$H30)</f>
        <v>83560.99523522923</v>
      </c>
    </row>
    <row r="31" spans="1:10" ht="12.75">
      <c r="A31" s="329">
        <f t="shared" si="6"/>
        <v>14</v>
      </c>
      <c r="B31" s="330">
        <f t="shared" si="0"/>
        <v>39508</v>
      </c>
      <c r="C31" s="332">
        <f t="shared" si="7"/>
        <v>1268331.3198141498</v>
      </c>
      <c r="D31" s="332">
        <f t="shared" si="1"/>
        <v>8863.821186236893</v>
      </c>
      <c r="E31" s="333">
        <f t="shared" si="2"/>
        <v>0</v>
      </c>
      <c r="F31" s="332">
        <f t="shared" si="3"/>
        <v>8863.821186236893</v>
      </c>
      <c r="G31" s="332">
        <f t="shared" si="4"/>
        <v>2522.164587166145</v>
      </c>
      <c r="H31" s="332">
        <f t="shared" si="8"/>
        <v>6341.656599070749</v>
      </c>
      <c r="I31" s="332">
        <f t="shared" si="5"/>
        <v>1265809.1552269836</v>
      </c>
      <c r="J31" s="332">
        <f>SUM($H$18:$H31)</f>
        <v>89902.65183429998</v>
      </c>
    </row>
    <row r="32" spans="1:10" ht="12.75">
      <c r="A32" s="329">
        <f t="shared" si="6"/>
        <v>15</v>
      </c>
      <c r="B32" s="330">
        <f t="shared" si="0"/>
        <v>39539</v>
      </c>
      <c r="C32" s="332">
        <f t="shared" si="7"/>
        <v>1265809.1552269836</v>
      </c>
      <c r="D32" s="332">
        <f t="shared" si="1"/>
        <v>8863.821186236893</v>
      </c>
      <c r="E32" s="333">
        <f t="shared" si="2"/>
        <v>0</v>
      </c>
      <c r="F32" s="332">
        <f t="shared" si="3"/>
        <v>8863.821186236893</v>
      </c>
      <c r="G32" s="332">
        <f t="shared" si="4"/>
        <v>2534.7754101019755</v>
      </c>
      <c r="H32" s="332">
        <f t="shared" si="8"/>
        <v>6329.045776134918</v>
      </c>
      <c r="I32" s="332">
        <f t="shared" si="5"/>
        <v>1263274.3798168816</v>
      </c>
      <c r="J32" s="332">
        <f>SUM($H$18:$H32)</f>
        <v>96231.6976104349</v>
      </c>
    </row>
    <row r="33" spans="1:10" ht="12.75">
      <c r="A33" s="329">
        <f t="shared" si="6"/>
        <v>16</v>
      </c>
      <c r="B33" s="330">
        <f t="shared" si="0"/>
        <v>39569</v>
      </c>
      <c r="C33" s="332">
        <f t="shared" si="7"/>
        <v>1263274.3798168816</v>
      </c>
      <c r="D33" s="332">
        <f t="shared" si="1"/>
        <v>8863.821186236893</v>
      </c>
      <c r="E33" s="333">
        <f t="shared" si="2"/>
        <v>0</v>
      </c>
      <c r="F33" s="332">
        <f t="shared" si="3"/>
        <v>8863.821186236893</v>
      </c>
      <c r="G33" s="332">
        <f t="shared" si="4"/>
        <v>2547.4492871524862</v>
      </c>
      <c r="H33" s="332">
        <f t="shared" si="8"/>
        <v>6316.371899084407</v>
      </c>
      <c r="I33" s="332">
        <f t="shared" si="5"/>
        <v>1260726.9305297292</v>
      </c>
      <c r="J33" s="332">
        <f>SUM($H$18:$H33)</f>
        <v>102548.06950951931</v>
      </c>
    </row>
    <row r="34" spans="1:10" ht="12.75">
      <c r="A34" s="329">
        <f t="shared" si="6"/>
        <v>17</v>
      </c>
      <c r="B34" s="330">
        <f t="shared" si="0"/>
        <v>39600</v>
      </c>
      <c r="C34" s="332">
        <f t="shared" si="7"/>
        <v>1260726.9305297292</v>
      </c>
      <c r="D34" s="332">
        <f t="shared" si="1"/>
        <v>8863.821186236893</v>
      </c>
      <c r="E34" s="333">
        <f t="shared" si="2"/>
        <v>0</v>
      </c>
      <c r="F34" s="332">
        <f t="shared" si="3"/>
        <v>8863.821186236893</v>
      </c>
      <c r="G34" s="332">
        <f t="shared" si="4"/>
        <v>2560.1865335882476</v>
      </c>
      <c r="H34" s="332">
        <f t="shared" si="8"/>
        <v>6303.634652648646</v>
      </c>
      <c r="I34" s="332">
        <f t="shared" si="5"/>
        <v>1258166.743996141</v>
      </c>
      <c r="J34" s="332">
        <f>SUM($H$18:$H34)</f>
        <v>108851.70416216795</v>
      </c>
    </row>
    <row r="35" spans="1:10" ht="12.75">
      <c r="A35" s="329">
        <f t="shared" si="6"/>
        <v>18</v>
      </c>
      <c r="B35" s="330">
        <f t="shared" si="0"/>
        <v>39630</v>
      </c>
      <c r="C35" s="332">
        <f t="shared" si="7"/>
        <v>1258166.743996141</v>
      </c>
      <c r="D35" s="332">
        <f t="shared" si="1"/>
        <v>8863.821186236893</v>
      </c>
      <c r="E35" s="333">
        <f t="shared" si="2"/>
        <v>0</v>
      </c>
      <c r="F35" s="332">
        <f t="shared" si="3"/>
        <v>8863.821186236893</v>
      </c>
      <c r="G35" s="332">
        <f t="shared" si="4"/>
        <v>2572.987466256188</v>
      </c>
      <c r="H35" s="332">
        <f t="shared" si="8"/>
        <v>6290.833719980706</v>
      </c>
      <c r="I35" s="332">
        <f t="shared" si="5"/>
        <v>1255593.7565298849</v>
      </c>
      <c r="J35" s="332">
        <f>SUM($H$18:$H35)</f>
        <v>115142.53788214865</v>
      </c>
    </row>
    <row r="36" spans="1:10" ht="12.75">
      <c r="A36" s="329">
        <f t="shared" si="6"/>
        <v>19</v>
      </c>
      <c r="B36" s="330">
        <f t="shared" si="0"/>
        <v>39661</v>
      </c>
      <c r="C36" s="332">
        <f t="shared" si="7"/>
        <v>1255593.7565298849</v>
      </c>
      <c r="D36" s="332">
        <f t="shared" si="1"/>
        <v>8863.821186236893</v>
      </c>
      <c r="E36" s="333">
        <f t="shared" si="2"/>
        <v>0</v>
      </c>
      <c r="F36" s="332">
        <f t="shared" si="3"/>
        <v>8863.821186236893</v>
      </c>
      <c r="G36" s="332">
        <f t="shared" si="4"/>
        <v>2585.85240358747</v>
      </c>
      <c r="H36" s="332">
        <f t="shared" si="8"/>
        <v>6277.968782649424</v>
      </c>
      <c r="I36" s="332">
        <f t="shared" si="5"/>
        <v>1253007.9041262974</v>
      </c>
      <c r="J36" s="332">
        <f>SUM($H$18:$H36)</f>
        <v>121420.50666479807</v>
      </c>
    </row>
    <row r="37" spans="1:10" ht="12.75">
      <c r="A37" s="329">
        <f t="shared" si="6"/>
        <v>20</v>
      </c>
      <c r="B37" s="330">
        <f t="shared" si="0"/>
        <v>39692</v>
      </c>
      <c r="C37" s="332">
        <f t="shared" si="7"/>
        <v>1253007.9041262974</v>
      </c>
      <c r="D37" s="332">
        <f t="shared" si="1"/>
        <v>8863.821186236893</v>
      </c>
      <c r="E37" s="333">
        <f t="shared" si="2"/>
        <v>0</v>
      </c>
      <c r="F37" s="332">
        <f t="shared" si="3"/>
        <v>8863.821186236893</v>
      </c>
      <c r="G37" s="332">
        <f t="shared" si="4"/>
        <v>2598.7816656054065</v>
      </c>
      <c r="H37" s="332">
        <f t="shared" si="8"/>
        <v>6265.039520631487</v>
      </c>
      <c r="I37" s="332">
        <f t="shared" si="5"/>
        <v>1250409.122460692</v>
      </c>
      <c r="J37" s="332">
        <f>SUM($H$18:$H37)</f>
        <v>127685.54618542956</v>
      </c>
    </row>
    <row r="38" spans="1:10" ht="12.75">
      <c r="A38" s="329">
        <f t="shared" si="6"/>
        <v>21</v>
      </c>
      <c r="B38" s="330">
        <f t="shared" si="0"/>
        <v>39722</v>
      </c>
      <c r="C38" s="332">
        <f t="shared" si="7"/>
        <v>1250409.122460692</v>
      </c>
      <c r="D38" s="332">
        <f t="shared" si="1"/>
        <v>8863.821186236893</v>
      </c>
      <c r="E38" s="333">
        <f t="shared" si="2"/>
        <v>0</v>
      </c>
      <c r="F38" s="332">
        <f t="shared" si="3"/>
        <v>8863.821186236893</v>
      </c>
      <c r="G38" s="332">
        <f t="shared" si="4"/>
        <v>2611.7755739334334</v>
      </c>
      <c r="H38" s="332">
        <f t="shared" si="8"/>
        <v>6252.04561230346</v>
      </c>
      <c r="I38" s="332">
        <f t="shared" si="5"/>
        <v>1247797.3468867585</v>
      </c>
      <c r="J38" s="332">
        <f>SUM($H$18:$H38)</f>
        <v>133937.591797733</v>
      </c>
    </row>
    <row r="39" spans="1:10" ht="12.75">
      <c r="A39" s="329">
        <f t="shared" si="6"/>
        <v>22</v>
      </c>
      <c r="B39" s="330">
        <f t="shared" si="0"/>
        <v>39753</v>
      </c>
      <c r="C39" s="332">
        <f t="shared" si="7"/>
        <v>1247797.3468867585</v>
      </c>
      <c r="D39" s="332">
        <f t="shared" si="1"/>
        <v>8863.821186236893</v>
      </c>
      <c r="E39" s="333">
        <f t="shared" si="2"/>
        <v>0</v>
      </c>
      <c r="F39" s="332">
        <f t="shared" si="3"/>
        <v>8863.821186236893</v>
      </c>
      <c r="G39" s="332">
        <f t="shared" si="4"/>
        <v>2624.8344518031017</v>
      </c>
      <c r="H39" s="332">
        <f t="shared" si="8"/>
        <v>6238.986734433792</v>
      </c>
      <c r="I39" s="332">
        <f t="shared" si="5"/>
        <v>1245172.5124349555</v>
      </c>
      <c r="J39" s="332">
        <f>SUM($H$18:$H39)</f>
        <v>140176.5785321668</v>
      </c>
    </row>
    <row r="40" spans="1:10" ht="12.75">
      <c r="A40" s="329">
        <f t="shared" si="6"/>
        <v>23</v>
      </c>
      <c r="B40" s="330">
        <f t="shared" si="0"/>
        <v>39783</v>
      </c>
      <c r="C40" s="332">
        <f t="shared" si="7"/>
        <v>1245172.5124349555</v>
      </c>
      <c r="D40" s="332">
        <f t="shared" si="1"/>
        <v>8863.821186236893</v>
      </c>
      <c r="E40" s="333">
        <f t="shared" si="2"/>
        <v>0</v>
      </c>
      <c r="F40" s="332">
        <f t="shared" si="3"/>
        <v>8863.821186236893</v>
      </c>
      <c r="G40" s="332">
        <f t="shared" si="4"/>
        <v>2637.9586240621165</v>
      </c>
      <c r="H40" s="332">
        <f t="shared" si="8"/>
        <v>6225.862562174777</v>
      </c>
      <c r="I40" s="332">
        <f t="shared" si="5"/>
        <v>1242534.5538108933</v>
      </c>
      <c r="J40" s="332">
        <f>SUM($H$18:$H40)</f>
        <v>146402.44109434157</v>
      </c>
    </row>
    <row r="41" spans="1:10" ht="12.75">
      <c r="A41" s="329">
        <f t="shared" si="6"/>
        <v>24</v>
      </c>
      <c r="B41" s="330">
        <f t="shared" si="0"/>
        <v>39814</v>
      </c>
      <c r="C41" s="332">
        <f t="shared" si="7"/>
        <v>1242534.5538108933</v>
      </c>
      <c r="D41" s="332">
        <f t="shared" si="1"/>
        <v>8863.821186236893</v>
      </c>
      <c r="E41" s="333">
        <f t="shared" si="2"/>
        <v>0</v>
      </c>
      <c r="F41" s="332">
        <f t="shared" si="3"/>
        <v>8863.821186236893</v>
      </c>
      <c r="G41" s="332">
        <f t="shared" si="4"/>
        <v>2651.1484171824277</v>
      </c>
      <c r="H41" s="332">
        <f t="shared" si="8"/>
        <v>6212.672769054466</v>
      </c>
      <c r="I41" s="332">
        <f t="shared" si="5"/>
        <v>1239883.4053937108</v>
      </c>
      <c r="J41" s="332">
        <f>SUM($H$18:$H41)</f>
        <v>152615.11386339605</v>
      </c>
    </row>
    <row r="42" spans="1:10" ht="12.75">
      <c r="A42" s="329">
        <f t="shared" si="6"/>
        <v>25</v>
      </c>
      <c r="B42" s="330">
        <f t="shared" si="0"/>
        <v>39845</v>
      </c>
      <c r="C42" s="332">
        <f t="shared" si="7"/>
        <v>1239883.4053937108</v>
      </c>
      <c r="D42" s="332">
        <f t="shared" si="1"/>
        <v>8863.821186236893</v>
      </c>
      <c r="E42" s="333">
        <f t="shared" si="2"/>
        <v>0</v>
      </c>
      <c r="F42" s="332">
        <f t="shared" si="3"/>
        <v>8863.821186236893</v>
      </c>
      <c r="G42" s="332">
        <f t="shared" si="4"/>
        <v>2664.4041592683398</v>
      </c>
      <c r="H42" s="332">
        <f t="shared" si="8"/>
        <v>6199.417026968554</v>
      </c>
      <c r="I42" s="332">
        <f t="shared" si="5"/>
        <v>1237219.0012344425</v>
      </c>
      <c r="J42" s="332">
        <f>SUM($H$18:$H42)</f>
        <v>158814.5308903646</v>
      </c>
    </row>
    <row r="43" spans="1:10" ht="12.75">
      <c r="A43" s="329">
        <f t="shared" si="6"/>
        <v>26</v>
      </c>
      <c r="B43" s="330">
        <f t="shared" si="0"/>
        <v>39873</v>
      </c>
      <c r="C43" s="332">
        <f t="shared" si="7"/>
        <v>1237219.0012344425</v>
      </c>
      <c r="D43" s="332">
        <f t="shared" si="1"/>
        <v>8863.821186236893</v>
      </c>
      <c r="E43" s="333">
        <f t="shared" si="2"/>
        <v>0</v>
      </c>
      <c r="F43" s="332">
        <f t="shared" si="3"/>
        <v>8863.821186236893</v>
      </c>
      <c r="G43" s="332">
        <f t="shared" si="4"/>
        <v>2677.726180064682</v>
      </c>
      <c r="H43" s="332">
        <f t="shared" si="8"/>
        <v>6186.0950061722115</v>
      </c>
      <c r="I43" s="332">
        <f t="shared" si="5"/>
        <v>1234541.2750543777</v>
      </c>
      <c r="J43" s="332">
        <f>SUM($H$18:$H43)</f>
        <v>165000.62589653683</v>
      </c>
    </row>
    <row r="44" spans="1:10" ht="12.75">
      <c r="A44" s="329">
        <f t="shared" si="6"/>
        <v>27</v>
      </c>
      <c r="B44" s="330">
        <f t="shared" si="0"/>
        <v>39904</v>
      </c>
      <c r="C44" s="332">
        <f t="shared" si="7"/>
        <v>1234541.2750543777</v>
      </c>
      <c r="D44" s="332">
        <f t="shared" si="1"/>
        <v>8863.821186236893</v>
      </c>
      <c r="E44" s="333">
        <f t="shared" si="2"/>
        <v>0</v>
      </c>
      <c r="F44" s="332">
        <f t="shared" si="3"/>
        <v>8863.821186236893</v>
      </c>
      <c r="G44" s="332">
        <f t="shared" si="4"/>
        <v>2691.114810965005</v>
      </c>
      <c r="H44" s="332">
        <f t="shared" si="8"/>
        <v>6172.706375271889</v>
      </c>
      <c r="I44" s="332">
        <f t="shared" si="5"/>
        <v>1231850.1602434127</v>
      </c>
      <c r="J44" s="332">
        <f>SUM($H$18:$H44)</f>
        <v>171173.33227180873</v>
      </c>
    </row>
    <row r="45" spans="1:10" ht="12.75">
      <c r="A45" s="329">
        <f t="shared" si="6"/>
        <v>28</v>
      </c>
      <c r="B45" s="330">
        <f t="shared" si="0"/>
        <v>39934</v>
      </c>
      <c r="C45" s="332">
        <f t="shared" si="7"/>
        <v>1231850.1602434127</v>
      </c>
      <c r="D45" s="332">
        <f t="shared" si="1"/>
        <v>8863.821186236893</v>
      </c>
      <c r="E45" s="333">
        <f t="shared" si="2"/>
        <v>0</v>
      </c>
      <c r="F45" s="332">
        <f t="shared" si="3"/>
        <v>8863.821186236893</v>
      </c>
      <c r="G45" s="332">
        <f t="shared" si="4"/>
        <v>2704.5703850198306</v>
      </c>
      <c r="H45" s="332">
        <f t="shared" si="8"/>
        <v>6159.250801217063</v>
      </c>
      <c r="I45" s="332">
        <f t="shared" si="5"/>
        <v>1229145.589858393</v>
      </c>
      <c r="J45" s="332">
        <f>SUM($H$18:$H45)</f>
        <v>177332.5830730258</v>
      </c>
    </row>
    <row r="46" spans="1:10" ht="12.75">
      <c r="A46" s="329">
        <f t="shared" si="6"/>
        <v>29</v>
      </c>
      <c r="B46" s="330">
        <f t="shared" si="0"/>
        <v>39965</v>
      </c>
      <c r="C46" s="332">
        <f t="shared" si="7"/>
        <v>1229145.589858393</v>
      </c>
      <c r="D46" s="332">
        <f t="shared" si="1"/>
        <v>8863.821186236893</v>
      </c>
      <c r="E46" s="333">
        <f t="shared" si="2"/>
        <v>0</v>
      </c>
      <c r="F46" s="332">
        <f t="shared" si="3"/>
        <v>8863.821186236893</v>
      </c>
      <c r="G46" s="332">
        <f t="shared" si="4"/>
        <v>2718.0932369449283</v>
      </c>
      <c r="H46" s="332">
        <f t="shared" si="8"/>
        <v>6145.727949291965</v>
      </c>
      <c r="I46" s="332">
        <f t="shared" si="5"/>
        <v>1226427.496621448</v>
      </c>
      <c r="J46" s="332">
        <f>SUM($H$18:$H46)</f>
        <v>183478.31102231776</v>
      </c>
    </row>
    <row r="47" spans="1:10" ht="12.75">
      <c r="A47" s="329">
        <f t="shared" si="6"/>
        <v>30</v>
      </c>
      <c r="B47" s="330">
        <f t="shared" si="0"/>
        <v>39995</v>
      </c>
      <c r="C47" s="332">
        <f t="shared" si="7"/>
        <v>1226427.496621448</v>
      </c>
      <c r="D47" s="332">
        <f t="shared" si="1"/>
        <v>8863.821186236893</v>
      </c>
      <c r="E47" s="333">
        <f t="shared" si="2"/>
        <v>0</v>
      </c>
      <c r="F47" s="332">
        <f t="shared" si="3"/>
        <v>8863.821186236893</v>
      </c>
      <c r="G47" s="332">
        <f t="shared" si="4"/>
        <v>2731.6837031296536</v>
      </c>
      <c r="H47" s="332">
        <f t="shared" si="8"/>
        <v>6132.13748310724</v>
      </c>
      <c r="I47" s="332">
        <f t="shared" si="5"/>
        <v>1223695.8129183184</v>
      </c>
      <c r="J47" s="332">
        <f>SUM($H$18:$H47)</f>
        <v>189610.448505425</v>
      </c>
    </row>
    <row r="48" spans="1:10" ht="12.75">
      <c r="A48" s="329">
        <f t="shared" si="6"/>
        <v>31</v>
      </c>
      <c r="B48" s="330">
        <f t="shared" si="0"/>
        <v>40026</v>
      </c>
      <c r="C48" s="332">
        <f t="shared" si="7"/>
        <v>1223695.8129183184</v>
      </c>
      <c r="D48" s="332">
        <f t="shared" si="1"/>
        <v>8863.821186236893</v>
      </c>
      <c r="E48" s="333">
        <f t="shared" si="2"/>
        <v>0</v>
      </c>
      <c r="F48" s="332">
        <f t="shared" si="3"/>
        <v>8863.821186236893</v>
      </c>
      <c r="G48" s="332">
        <f t="shared" si="4"/>
        <v>2745.3421216453016</v>
      </c>
      <c r="H48" s="332">
        <f t="shared" si="8"/>
        <v>6118.479064591592</v>
      </c>
      <c r="I48" s="332">
        <f t="shared" si="5"/>
        <v>1220950.470796673</v>
      </c>
      <c r="J48" s="332">
        <f>SUM($H$18:$H48)</f>
        <v>195728.9275700166</v>
      </c>
    </row>
    <row r="49" spans="1:10" ht="12.75">
      <c r="A49" s="329">
        <f t="shared" si="6"/>
        <v>32</v>
      </c>
      <c r="B49" s="330">
        <f t="shared" si="0"/>
        <v>40057</v>
      </c>
      <c r="C49" s="332">
        <f t="shared" si="7"/>
        <v>1220950.470796673</v>
      </c>
      <c r="D49" s="332">
        <f t="shared" si="1"/>
        <v>8863.821186236893</v>
      </c>
      <c r="E49" s="333">
        <f t="shared" si="2"/>
        <v>0</v>
      </c>
      <c r="F49" s="332">
        <f t="shared" si="3"/>
        <v>8863.821186236893</v>
      </c>
      <c r="G49" s="332">
        <f t="shared" si="4"/>
        <v>2759.068832253529</v>
      </c>
      <c r="H49" s="332">
        <f t="shared" si="8"/>
        <v>6104.752353983365</v>
      </c>
      <c r="I49" s="332">
        <f t="shared" si="5"/>
        <v>1218191.4019644195</v>
      </c>
      <c r="J49" s="332">
        <f>SUM($H$18:$H49)</f>
        <v>201833.67992399997</v>
      </c>
    </row>
    <row r="50" spans="1:10" ht="12.75">
      <c r="A50" s="329">
        <f t="shared" si="6"/>
        <v>33</v>
      </c>
      <c r="B50" s="330">
        <f t="shared" si="0"/>
        <v>40087</v>
      </c>
      <c r="C50" s="332">
        <f t="shared" si="7"/>
        <v>1218191.4019644195</v>
      </c>
      <c r="D50" s="332">
        <f t="shared" si="1"/>
        <v>8863.821186236893</v>
      </c>
      <c r="E50" s="333">
        <f t="shared" si="2"/>
        <v>0</v>
      </c>
      <c r="F50" s="332">
        <f t="shared" si="3"/>
        <v>8863.821186236893</v>
      </c>
      <c r="G50" s="332">
        <f t="shared" si="4"/>
        <v>2772.864176414796</v>
      </c>
      <c r="H50" s="332">
        <f t="shared" si="8"/>
        <v>6090.9570098220975</v>
      </c>
      <c r="I50" s="332">
        <f t="shared" si="5"/>
        <v>1215418.5377880046</v>
      </c>
      <c r="J50" s="332">
        <f>SUM($H$18:$H50)</f>
        <v>207924.63693382207</v>
      </c>
    </row>
    <row r="51" spans="1:10" ht="12.75">
      <c r="A51" s="329">
        <f t="shared" si="6"/>
        <v>34</v>
      </c>
      <c r="B51" s="330">
        <f t="shared" si="0"/>
        <v>40118</v>
      </c>
      <c r="C51" s="332">
        <f t="shared" si="7"/>
        <v>1215418.5377880046</v>
      </c>
      <c r="D51" s="332">
        <f t="shared" si="1"/>
        <v>8863.821186236893</v>
      </c>
      <c r="E51" s="333">
        <f t="shared" si="2"/>
        <v>0</v>
      </c>
      <c r="F51" s="332">
        <f t="shared" si="3"/>
        <v>8863.821186236893</v>
      </c>
      <c r="G51" s="332">
        <f t="shared" si="4"/>
        <v>2786.728497296871</v>
      </c>
      <c r="H51" s="332">
        <f t="shared" si="8"/>
        <v>6077.0926889400225</v>
      </c>
      <c r="I51" s="332">
        <f t="shared" si="5"/>
        <v>1212631.8092907078</v>
      </c>
      <c r="J51" s="332">
        <f>SUM($H$18:$H51)</f>
        <v>214001.7296227621</v>
      </c>
    </row>
    <row r="52" spans="1:10" ht="12.75">
      <c r="A52" s="329">
        <f t="shared" si="6"/>
        <v>35</v>
      </c>
      <c r="B52" s="330">
        <f t="shared" si="0"/>
        <v>40148</v>
      </c>
      <c r="C52" s="332">
        <f t="shared" si="7"/>
        <v>1212631.8092907078</v>
      </c>
      <c r="D52" s="332">
        <f t="shared" si="1"/>
        <v>8863.821186236893</v>
      </c>
      <c r="E52" s="333">
        <f t="shared" si="2"/>
        <v>0</v>
      </c>
      <c r="F52" s="332">
        <f t="shared" si="3"/>
        <v>8863.821186236893</v>
      </c>
      <c r="G52" s="332">
        <f t="shared" si="4"/>
        <v>2800.662139783354</v>
      </c>
      <c r="H52" s="332">
        <f t="shared" si="8"/>
        <v>6063.159046453539</v>
      </c>
      <c r="I52" s="332">
        <f t="shared" si="5"/>
        <v>1209831.1471509244</v>
      </c>
      <c r="J52" s="332">
        <f>SUM($H$18:$H52)</f>
        <v>220064.88866921564</v>
      </c>
    </row>
    <row r="53" spans="1:10" ht="12.75">
      <c r="A53" s="329">
        <f t="shared" si="6"/>
        <v>36</v>
      </c>
      <c r="B53" s="330">
        <f t="shared" si="0"/>
        <v>40179</v>
      </c>
      <c r="C53" s="332">
        <f t="shared" si="7"/>
        <v>1209831.1471509244</v>
      </c>
      <c r="D53" s="332">
        <f t="shared" si="1"/>
        <v>8863.821186236893</v>
      </c>
      <c r="E53" s="333">
        <f t="shared" si="2"/>
        <v>0</v>
      </c>
      <c r="F53" s="332">
        <f t="shared" si="3"/>
        <v>8863.821186236893</v>
      </c>
      <c r="G53" s="332">
        <f t="shared" si="4"/>
        <v>2814.665450482272</v>
      </c>
      <c r="H53" s="332">
        <f t="shared" si="8"/>
        <v>6049.155735754622</v>
      </c>
      <c r="I53" s="332">
        <f t="shared" si="5"/>
        <v>1207016.4817004423</v>
      </c>
      <c r="J53" s="332">
        <f>SUM($H$18:$H53)</f>
        <v>226114.04440497025</v>
      </c>
    </row>
    <row r="54" spans="1:10" ht="12.75">
      <c r="A54" s="329">
        <f t="shared" si="6"/>
        <v>37</v>
      </c>
      <c r="B54" s="330">
        <f t="shared" si="0"/>
        <v>40210</v>
      </c>
      <c r="C54" s="332">
        <f t="shared" si="7"/>
        <v>1207016.4817004423</v>
      </c>
      <c r="D54" s="332">
        <f t="shared" si="1"/>
        <v>8863.821186236893</v>
      </c>
      <c r="E54" s="333">
        <f t="shared" si="2"/>
        <v>0</v>
      </c>
      <c r="F54" s="332">
        <f t="shared" si="3"/>
        <v>8863.821186236893</v>
      </c>
      <c r="G54" s="332">
        <f t="shared" si="4"/>
        <v>2828.738777734682</v>
      </c>
      <c r="H54" s="332">
        <f t="shared" si="8"/>
        <v>6035.082408502211</v>
      </c>
      <c r="I54" s="332">
        <f t="shared" si="5"/>
        <v>1204187.7429227077</v>
      </c>
      <c r="J54" s="332">
        <f>SUM($H$18:$H54)</f>
        <v>232149.12681347245</v>
      </c>
    </row>
    <row r="55" spans="1:10" ht="12.75">
      <c r="A55" s="329">
        <f t="shared" si="6"/>
        <v>38</v>
      </c>
      <c r="B55" s="330">
        <f t="shared" si="0"/>
        <v>40238</v>
      </c>
      <c r="C55" s="332">
        <f t="shared" si="7"/>
        <v>1204187.7429227077</v>
      </c>
      <c r="D55" s="332">
        <f t="shared" si="1"/>
        <v>8863.821186236893</v>
      </c>
      <c r="E55" s="333">
        <f t="shared" si="2"/>
        <v>0</v>
      </c>
      <c r="F55" s="332">
        <f t="shared" si="3"/>
        <v>8863.821186236893</v>
      </c>
      <c r="G55" s="332">
        <f t="shared" si="4"/>
        <v>2842.8824716233557</v>
      </c>
      <c r="H55" s="332">
        <f t="shared" si="8"/>
        <v>6020.938714613538</v>
      </c>
      <c r="I55" s="332">
        <f t="shared" si="5"/>
        <v>1201344.8604510843</v>
      </c>
      <c r="J55" s="332">
        <f>SUM($H$18:$H55)</f>
        <v>238170.06552808598</v>
      </c>
    </row>
    <row r="56" spans="1:10" ht="12.75">
      <c r="A56" s="329">
        <f t="shared" si="6"/>
        <v>39</v>
      </c>
      <c r="B56" s="330">
        <f t="shared" si="0"/>
        <v>40269</v>
      </c>
      <c r="C56" s="332">
        <f t="shared" si="7"/>
        <v>1201344.8604510843</v>
      </c>
      <c r="D56" s="332">
        <f t="shared" si="1"/>
        <v>8863.821186236893</v>
      </c>
      <c r="E56" s="333">
        <f t="shared" si="2"/>
        <v>0</v>
      </c>
      <c r="F56" s="332">
        <f t="shared" si="3"/>
        <v>8863.821186236893</v>
      </c>
      <c r="G56" s="332">
        <f t="shared" si="4"/>
        <v>2857.0968839814723</v>
      </c>
      <c r="H56" s="332">
        <f t="shared" si="8"/>
        <v>6006.724302255421</v>
      </c>
      <c r="I56" s="332">
        <f t="shared" si="5"/>
        <v>1198487.7635671028</v>
      </c>
      <c r="J56" s="332">
        <f>SUM($H$18:$H56)</f>
        <v>244176.7898303414</v>
      </c>
    </row>
    <row r="57" spans="1:10" ht="12.75">
      <c r="A57" s="329">
        <f t="shared" si="6"/>
        <v>40</v>
      </c>
      <c r="B57" s="330">
        <f t="shared" si="0"/>
        <v>40299</v>
      </c>
      <c r="C57" s="332">
        <f t="shared" si="7"/>
        <v>1198487.7635671028</v>
      </c>
      <c r="D57" s="332">
        <f t="shared" si="1"/>
        <v>8863.821186236893</v>
      </c>
      <c r="E57" s="333">
        <f t="shared" si="2"/>
        <v>0</v>
      </c>
      <c r="F57" s="332">
        <f t="shared" si="3"/>
        <v>8863.821186236893</v>
      </c>
      <c r="G57" s="332">
        <f t="shared" si="4"/>
        <v>2871.3823684013796</v>
      </c>
      <c r="H57" s="332">
        <f t="shared" si="8"/>
        <v>5992.438817835514</v>
      </c>
      <c r="I57" s="332">
        <f t="shared" si="5"/>
        <v>1195616.3811987014</v>
      </c>
      <c r="J57" s="332">
        <f>SUM($H$18:$H57)</f>
        <v>250169.2286481769</v>
      </c>
    </row>
    <row r="58" spans="1:10" ht="12.75">
      <c r="A58" s="329">
        <f t="shared" si="6"/>
        <v>41</v>
      </c>
      <c r="B58" s="330">
        <f t="shared" si="0"/>
        <v>40330</v>
      </c>
      <c r="C58" s="332">
        <f t="shared" si="7"/>
        <v>1195616.3811987014</v>
      </c>
      <c r="D58" s="332">
        <f t="shared" si="1"/>
        <v>8863.821186236893</v>
      </c>
      <c r="E58" s="333">
        <f t="shared" si="2"/>
        <v>0</v>
      </c>
      <c r="F58" s="332">
        <f t="shared" si="3"/>
        <v>8863.821186236893</v>
      </c>
      <c r="G58" s="332">
        <f t="shared" si="4"/>
        <v>2885.739280243387</v>
      </c>
      <c r="H58" s="332">
        <f t="shared" si="8"/>
        <v>5978.081905993507</v>
      </c>
      <c r="I58" s="332">
        <f t="shared" si="5"/>
        <v>1192730.641918458</v>
      </c>
      <c r="J58" s="332">
        <f>SUM($H$18:$H58)</f>
        <v>256147.31055417043</v>
      </c>
    </row>
    <row r="59" spans="1:10" ht="12.75">
      <c r="A59" s="329">
        <f t="shared" si="6"/>
        <v>42</v>
      </c>
      <c r="B59" s="330">
        <f t="shared" si="0"/>
        <v>40360</v>
      </c>
      <c r="C59" s="332">
        <f t="shared" si="7"/>
        <v>1192730.641918458</v>
      </c>
      <c r="D59" s="332">
        <f t="shared" si="1"/>
        <v>8863.821186236893</v>
      </c>
      <c r="E59" s="333">
        <f t="shared" si="2"/>
        <v>0</v>
      </c>
      <c r="F59" s="332">
        <f t="shared" si="3"/>
        <v>8863.821186236893</v>
      </c>
      <c r="G59" s="332">
        <f t="shared" si="4"/>
        <v>2900.167976644604</v>
      </c>
      <c r="H59" s="332">
        <f t="shared" si="8"/>
        <v>5963.653209592289</v>
      </c>
      <c r="I59" s="332">
        <f t="shared" si="5"/>
        <v>1189830.4739418135</v>
      </c>
      <c r="J59" s="332">
        <f>SUM($H$18:$H59)</f>
        <v>262110.96376376273</v>
      </c>
    </row>
    <row r="60" spans="1:10" ht="12.75">
      <c r="A60" s="329">
        <f t="shared" si="6"/>
        <v>43</v>
      </c>
      <c r="B60" s="330">
        <f t="shared" si="0"/>
        <v>40391</v>
      </c>
      <c r="C60" s="332">
        <f t="shared" si="7"/>
        <v>1189830.4739418135</v>
      </c>
      <c r="D60" s="332">
        <f t="shared" si="1"/>
        <v>8863.821186236893</v>
      </c>
      <c r="E60" s="333">
        <f t="shared" si="2"/>
        <v>0</v>
      </c>
      <c r="F60" s="332">
        <f t="shared" si="3"/>
        <v>8863.821186236893</v>
      </c>
      <c r="G60" s="332">
        <f t="shared" si="4"/>
        <v>2914.6688165278265</v>
      </c>
      <c r="H60" s="332">
        <f t="shared" si="8"/>
        <v>5949.152369709067</v>
      </c>
      <c r="I60" s="332">
        <f t="shared" si="5"/>
        <v>1186915.8051252856</v>
      </c>
      <c r="J60" s="332">
        <f>SUM($H$18:$H60)</f>
        <v>268060.1161334718</v>
      </c>
    </row>
    <row r="61" spans="1:10" ht="12.75">
      <c r="A61" s="329">
        <f t="shared" si="6"/>
        <v>44</v>
      </c>
      <c r="B61" s="330">
        <f t="shared" si="0"/>
        <v>40422</v>
      </c>
      <c r="C61" s="332">
        <f t="shared" si="7"/>
        <v>1186915.8051252856</v>
      </c>
      <c r="D61" s="332">
        <f t="shared" si="1"/>
        <v>8863.821186236893</v>
      </c>
      <c r="E61" s="333">
        <f t="shared" si="2"/>
        <v>0</v>
      </c>
      <c r="F61" s="332">
        <f t="shared" si="3"/>
        <v>8863.821186236893</v>
      </c>
      <c r="G61" s="332">
        <f t="shared" si="4"/>
        <v>2929.2421606104663</v>
      </c>
      <c r="H61" s="332">
        <f t="shared" si="8"/>
        <v>5934.579025626427</v>
      </c>
      <c r="I61" s="332">
        <f t="shared" si="5"/>
        <v>1183986.5629646752</v>
      </c>
      <c r="J61" s="332">
        <f>SUM($H$18:$H61)</f>
        <v>273994.6951590982</v>
      </c>
    </row>
    <row r="62" spans="1:10" ht="12.75">
      <c r="A62" s="329">
        <f t="shared" si="6"/>
        <v>45</v>
      </c>
      <c r="B62" s="330">
        <f t="shared" si="0"/>
        <v>40452</v>
      </c>
      <c r="C62" s="332">
        <f t="shared" si="7"/>
        <v>1183986.5629646752</v>
      </c>
      <c r="D62" s="332">
        <f t="shared" si="1"/>
        <v>8863.821186236893</v>
      </c>
      <c r="E62" s="333">
        <f t="shared" si="2"/>
        <v>0</v>
      </c>
      <c r="F62" s="332">
        <f t="shared" si="3"/>
        <v>8863.821186236893</v>
      </c>
      <c r="G62" s="332">
        <f t="shared" si="4"/>
        <v>2943.8883714135172</v>
      </c>
      <c r="H62" s="332">
        <f t="shared" si="8"/>
        <v>5919.932814823376</v>
      </c>
      <c r="I62" s="332">
        <f t="shared" si="5"/>
        <v>1181042.6745932617</v>
      </c>
      <c r="J62" s="332">
        <f>SUM($H$18:$H62)</f>
        <v>279914.6279739216</v>
      </c>
    </row>
    <row r="63" spans="1:10" ht="12.75">
      <c r="A63" s="329">
        <f t="shared" si="6"/>
        <v>46</v>
      </c>
      <c r="B63" s="330">
        <f t="shared" si="0"/>
        <v>40483</v>
      </c>
      <c r="C63" s="332">
        <f t="shared" si="7"/>
        <v>1181042.6745932617</v>
      </c>
      <c r="D63" s="332">
        <f t="shared" si="1"/>
        <v>8863.821186236893</v>
      </c>
      <c r="E63" s="333">
        <f t="shared" si="2"/>
        <v>0</v>
      </c>
      <c r="F63" s="332">
        <f t="shared" si="3"/>
        <v>8863.821186236893</v>
      </c>
      <c r="G63" s="332">
        <f t="shared" si="4"/>
        <v>2958.607813270585</v>
      </c>
      <c r="H63" s="332">
        <f t="shared" si="8"/>
        <v>5905.213372966308</v>
      </c>
      <c r="I63" s="332">
        <f t="shared" si="5"/>
        <v>1178084.0667799911</v>
      </c>
      <c r="J63" s="332">
        <f>SUM($H$18:$H63)</f>
        <v>285819.84134688793</v>
      </c>
    </row>
    <row r="64" spans="1:10" ht="12.75">
      <c r="A64" s="329">
        <f t="shared" si="6"/>
        <v>47</v>
      </c>
      <c r="B64" s="330">
        <f t="shared" si="0"/>
        <v>40513</v>
      </c>
      <c r="C64" s="332">
        <f t="shared" si="7"/>
        <v>1178084.0667799911</v>
      </c>
      <c r="D64" s="332">
        <f t="shared" si="1"/>
        <v>8863.821186236893</v>
      </c>
      <c r="E64" s="333">
        <f t="shared" si="2"/>
        <v>0</v>
      </c>
      <c r="F64" s="332">
        <f t="shared" si="3"/>
        <v>8863.821186236893</v>
      </c>
      <c r="G64" s="332">
        <f t="shared" si="4"/>
        <v>2973.4008523369384</v>
      </c>
      <c r="H64" s="332">
        <f t="shared" si="8"/>
        <v>5890.420333899955</v>
      </c>
      <c r="I64" s="332">
        <f t="shared" si="5"/>
        <v>1175110.6659276541</v>
      </c>
      <c r="J64" s="332">
        <f>SUM($H$18:$H64)</f>
        <v>291710.2616807879</v>
      </c>
    </row>
    <row r="65" spans="1:10" ht="12.75">
      <c r="A65" s="329">
        <f t="shared" si="6"/>
        <v>48</v>
      </c>
      <c r="B65" s="330">
        <f t="shared" si="0"/>
        <v>40544</v>
      </c>
      <c r="C65" s="332">
        <f t="shared" si="7"/>
        <v>1175110.6659276541</v>
      </c>
      <c r="D65" s="332">
        <f t="shared" si="1"/>
        <v>8863.821186236893</v>
      </c>
      <c r="E65" s="333">
        <f t="shared" si="2"/>
        <v>0</v>
      </c>
      <c r="F65" s="332">
        <f t="shared" si="3"/>
        <v>8863.821186236893</v>
      </c>
      <c r="G65" s="332">
        <f t="shared" si="4"/>
        <v>2988.2678565986225</v>
      </c>
      <c r="H65" s="332">
        <f t="shared" si="8"/>
        <v>5875.553329638271</v>
      </c>
      <c r="I65" s="332">
        <f t="shared" si="5"/>
        <v>1172122.3980710555</v>
      </c>
      <c r="J65" s="332">
        <f>SUM($H$18:$H65)</f>
        <v>297585.81501042616</v>
      </c>
    </row>
    <row r="66" spans="1:10" ht="12.75">
      <c r="A66" s="329">
        <f t="shared" si="6"/>
        <v>49</v>
      </c>
      <c r="B66" s="330">
        <f t="shared" si="0"/>
        <v>40575</v>
      </c>
      <c r="C66" s="332">
        <f t="shared" si="7"/>
        <v>1172122.3980710555</v>
      </c>
      <c r="D66" s="332">
        <f t="shared" si="1"/>
        <v>8863.821186236893</v>
      </c>
      <c r="E66" s="333">
        <f t="shared" si="2"/>
        <v>0</v>
      </c>
      <c r="F66" s="332">
        <f t="shared" si="3"/>
        <v>8863.821186236893</v>
      </c>
      <c r="G66" s="332">
        <f t="shared" si="4"/>
        <v>3003.2091958816154</v>
      </c>
      <c r="H66" s="332">
        <f t="shared" si="8"/>
        <v>5860.611990355278</v>
      </c>
      <c r="I66" s="332">
        <f t="shared" si="5"/>
        <v>1169119.188875174</v>
      </c>
      <c r="J66" s="332">
        <f>SUM($H$18:$H66)</f>
        <v>303446.42700078146</v>
      </c>
    </row>
    <row r="67" spans="1:10" ht="12.75">
      <c r="A67" s="329">
        <f t="shared" si="6"/>
        <v>50</v>
      </c>
      <c r="B67" s="330">
        <f t="shared" si="0"/>
        <v>40603</v>
      </c>
      <c r="C67" s="332">
        <f t="shared" si="7"/>
        <v>1169119.188875174</v>
      </c>
      <c r="D67" s="332">
        <f t="shared" si="1"/>
        <v>8863.821186236893</v>
      </c>
      <c r="E67" s="333">
        <f t="shared" si="2"/>
        <v>0</v>
      </c>
      <c r="F67" s="332">
        <f t="shared" si="3"/>
        <v>8863.821186236893</v>
      </c>
      <c r="G67" s="332">
        <f t="shared" si="4"/>
        <v>3018.225241861024</v>
      </c>
      <c r="H67" s="332">
        <f t="shared" si="8"/>
        <v>5845.595944375869</v>
      </c>
      <c r="I67" s="332">
        <f t="shared" si="5"/>
        <v>1166100.9636333128</v>
      </c>
      <c r="J67" s="332">
        <f>SUM($H$18:$H67)</f>
        <v>309292.0229451573</v>
      </c>
    </row>
    <row r="68" spans="1:10" ht="12.75">
      <c r="A68" s="329">
        <f t="shared" si="6"/>
        <v>51</v>
      </c>
      <c r="B68" s="330">
        <f t="shared" si="0"/>
        <v>40634</v>
      </c>
      <c r="C68" s="332">
        <f t="shared" si="7"/>
        <v>1166100.9636333128</v>
      </c>
      <c r="D68" s="332">
        <f t="shared" si="1"/>
        <v>8863.821186236893</v>
      </c>
      <c r="E68" s="333">
        <f t="shared" si="2"/>
        <v>0</v>
      </c>
      <c r="F68" s="332">
        <f t="shared" si="3"/>
        <v>8863.821186236893</v>
      </c>
      <c r="G68" s="332">
        <f t="shared" si="4"/>
        <v>3033.31636807033</v>
      </c>
      <c r="H68" s="332">
        <f t="shared" si="8"/>
        <v>5830.504818166563</v>
      </c>
      <c r="I68" s="332">
        <f t="shared" si="5"/>
        <v>1163067.6472652424</v>
      </c>
      <c r="J68" s="332">
        <f>SUM($H$18:$H68)</f>
        <v>315122.52776332386</v>
      </c>
    </row>
    <row r="69" spans="1:10" ht="12.75">
      <c r="A69" s="329">
        <f t="shared" si="6"/>
        <v>52</v>
      </c>
      <c r="B69" s="330">
        <f t="shared" si="0"/>
        <v>40664</v>
      </c>
      <c r="C69" s="332">
        <f t="shared" si="7"/>
        <v>1163067.6472652424</v>
      </c>
      <c r="D69" s="332">
        <f t="shared" si="1"/>
        <v>8863.821186236893</v>
      </c>
      <c r="E69" s="333">
        <f t="shared" si="2"/>
        <v>0</v>
      </c>
      <c r="F69" s="332">
        <f t="shared" si="3"/>
        <v>8863.821186236893</v>
      </c>
      <c r="G69" s="332">
        <f t="shared" si="4"/>
        <v>3048.482949910681</v>
      </c>
      <c r="H69" s="332">
        <f t="shared" si="8"/>
        <v>5815.338236326213</v>
      </c>
      <c r="I69" s="332">
        <f t="shared" si="5"/>
        <v>1160019.1643153317</v>
      </c>
      <c r="J69" s="332">
        <f>SUM($H$18:$H69)</f>
        <v>320937.8659996501</v>
      </c>
    </row>
    <row r="70" spans="1:10" ht="12.75">
      <c r="A70" s="329">
        <f t="shared" si="6"/>
        <v>53</v>
      </c>
      <c r="B70" s="330">
        <f t="shared" si="0"/>
        <v>40695</v>
      </c>
      <c r="C70" s="332">
        <f t="shared" si="7"/>
        <v>1160019.1643153317</v>
      </c>
      <c r="D70" s="332">
        <f t="shared" si="1"/>
        <v>8863.821186236893</v>
      </c>
      <c r="E70" s="333">
        <f t="shared" si="2"/>
        <v>0</v>
      </c>
      <c r="F70" s="332">
        <f t="shared" si="3"/>
        <v>8863.821186236893</v>
      </c>
      <c r="G70" s="332">
        <f t="shared" si="4"/>
        <v>3063.725364660235</v>
      </c>
      <c r="H70" s="332">
        <f t="shared" si="8"/>
        <v>5800.095821576659</v>
      </c>
      <c r="I70" s="332">
        <f t="shared" si="5"/>
        <v>1156955.4389506716</v>
      </c>
      <c r="J70" s="332">
        <f>SUM($H$18:$H70)</f>
        <v>326737.96182122675</v>
      </c>
    </row>
    <row r="71" spans="1:10" ht="12.75">
      <c r="A71" s="329">
        <f t="shared" si="6"/>
        <v>54</v>
      </c>
      <c r="B71" s="330">
        <f t="shared" si="0"/>
        <v>40725</v>
      </c>
      <c r="C71" s="332">
        <f t="shared" si="7"/>
        <v>1156955.4389506716</v>
      </c>
      <c r="D71" s="332">
        <f t="shared" si="1"/>
        <v>8863.821186236893</v>
      </c>
      <c r="E71" s="333">
        <f t="shared" si="2"/>
        <v>0</v>
      </c>
      <c r="F71" s="332">
        <f t="shared" si="3"/>
        <v>8863.821186236893</v>
      </c>
      <c r="G71" s="332">
        <f t="shared" si="4"/>
        <v>3079.043991483536</v>
      </c>
      <c r="H71" s="332">
        <f t="shared" si="8"/>
        <v>5784.777194753357</v>
      </c>
      <c r="I71" s="332">
        <f t="shared" si="5"/>
        <v>1153876.394959188</v>
      </c>
      <c r="J71" s="332">
        <f>SUM($H$18:$H71)</f>
        <v>332522.7390159801</v>
      </c>
    </row>
    <row r="72" spans="1:10" ht="12.75">
      <c r="A72" s="329">
        <f t="shared" si="6"/>
        <v>55</v>
      </c>
      <c r="B72" s="330">
        <f t="shared" si="0"/>
        <v>40756</v>
      </c>
      <c r="C72" s="332">
        <f t="shared" si="7"/>
        <v>1153876.394959188</v>
      </c>
      <c r="D72" s="332">
        <f t="shared" si="1"/>
        <v>8863.821186236893</v>
      </c>
      <c r="E72" s="333">
        <f t="shared" si="2"/>
        <v>0</v>
      </c>
      <c r="F72" s="332">
        <f t="shared" si="3"/>
        <v>8863.821186236893</v>
      </c>
      <c r="G72" s="332">
        <f t="shared" si="4"/>
        <v>3094.439211440954</v>
      </c>
      <c r="H72" s="332">
        <f t="shared" si="8"/>
        <v>5769.38197479594</v>
      </c>
      <c r="I72" s="332">
        <f t="shared" si="5"/>
        <v>1150781.955747747</v>
      </c>
      <c r="J72" s="332">
        <f>SUM($H$18:$H72)</f>
        <v>338292.12099077605</v>
      </c>
    </row>
    <row r="73" spans="1:10" ht="12.75">
      <c r="A73" s="329">
        <f t="shared" si="6"/>
        <v>56</v>
      </c>
      <c r="B73" s="330">
        <f t="shared" si="0"/>
        <v>40787</v>
      </c>
      <c r="C73" s="332">
        <f t="shared" si="7"/>
        <v>1150781.955747747</v>
      </c>
      <c r="D73" s="332">
        <f t="shared" si="1"/>
        <v>8863.821186236893</v>
      </c>
      <c r="E73" s="333">
        <f t="shared" si="2"/>
        <v>0</v>
      </c>
      <c r="F73" s="332">
        <f t="shared" si="3"/>
        <v>8863.821186236893</v>
      </c>
      <c r="G73" s="332">
        <f t="shared" si="4"/>
        <v>3109.911407498158</v>
      </c>
      <c r="H73" s="332">
        <f t="shared" si="8"/>
        <v>5753.909778738735</v>
      </c>
      <c r="I73" s="332">
        <f t="shared" si="5"/>
        <v>1147672.044340249</v>
      </c>
      <c r="J73" s="332">
        <f>SUM($H$18:$H73)</f>
        <v>344046.0307695148</v>
      </c>
    </row>
    <row r="74" spans="1:10" ht="12.75">
      <c r="A74" s="329">
        <f t="shared" si="6"/>
        <v>57</v>
      </c>
      <c r="B74" s="330">
        <f t="shared" si="0"/>
        <v>40817</v>
      </c>
      <c r="C74" s="332">
        <f t="shared" si="7"/>
        <v>1147672.044340249</v>
      </c>
      <c r="D74" s="332">
        <f t="shared" si="1"/>
        <v>8863.821186236893</v>
      </c>
      <c r="E74" s="333">
        <f t="shared" si="2"/>
        <v>0</v>
      </c>
      <c r="F74" s="332">
        <f t="shared" si="3"/>
        <v>8863.821186236893</v>
      </c>
      <c r="G74" s="332">
        <f t="shared" si="4"/>
        <v>3125.4609645356486</v>
      </c>
      <c r="H74" s="332">
        <f t="shared" si="8"/>
        <v>5738.360221701245</v>
      </c>
      <c r="I74" s="332">
        <f t="shared" si="5"/>
        <v>1144546.5833757133</v>
      </c>
      <c r="J74" s="332">
        <f>SUM($H$18:$H74)</f>
        <v>349784.39099121606</v>
      </c>
    </row>
    <row r="75" spans="1:10" ht="12.75">
      <c r="A75" s="329">
        <f t="shared" si="6"/>
        <v>58</v>
      </c>
      <c r="B75" s="330">
        <f t="shared" si="0"/>
        <v>40848</v>
      </c>
      <c r="C75" s="332">
        <f t="shared" si="7"/>
        <v>1144546.5833757133</v>
      </c>
      <c r="D75" s="332">
        <f t="shared" si="1"/>
        <v>8863.821186236893</v>
      </c>
      <c r="E75" s="333">
        <f t="shared" si="2"/>
        <v>0</v>
      </c>
      <c r="F75" s="332">
        <f t="shared" si="3"/>
        <v>8863.821186236893</v>
      </c>
      <c r="G75" s="332">
        <f t="shared" si="4"/>
        <v>3141.088269358327</v>
      </c>
      <c r="H75" s="332">
        <f t="shared" si="8"/>
        <v>5722.732916878566</v>
      </c>
      <c r="I75" s="332">
        <f t="shared" si="5"/>
        <v>1141405.495106355</v>
      </c>
      <c r="J75" s="332">
        <f>SUM($H$18:$H75)</f>
        <v>355507.12390809465</v>
      </c>
    </row>
    <row r="76" spans="1:10" ht="12.75">
      <c r="A76" s="329">
        <f t="shared" si="6"/>
        <v>59</v>
      </c>
      <c r="B76" s="330">
        <f t="shared" si="0"/>
        <v>40878</v>
      </c>
      <c r="C76" s="332">
        <f t="shared" si="7"/>
        <v>1141405.495106355</v>
      </c>
      <c r="D76" s="332">
        <f t="shared" si="1"/>
        <v>8863.821186236893</v>
      </c>
      <c r="E76" s="333">
        <f t="shared" si="2"/>
        <v>0</v>
      </c>
      <c r="F76" s="332">
        <f t="shared" si="3"/>
        <v>8863.821186236893</v>
      </c>
      <c r="G76" s="332">
        <f t="shared" si="4"/>
        <v>3156.7937107051175</v>
      </c>
      <c r="H76" s="332">
        <f t="shared" si="8"/>
        <v>5707.027475531776</v>
      </c>
      <c r="I76" s="332">
        <f t="shared" si="5"/>
        <v>1138248.70139565</v>
      </c>
      <c r="J76" s="332">
        <f>SUM($H$18:$H76)</f>
        <v>361214.15138362645</v>
      </c>
    </row>
    <row r="77" spans="1:10" ht="12.75">
      <c r="A77" s="329">
        <f t="shared" si="6"/>
        <v>60</v>
      </c>
      <c r="B77" s="330">
        <f t="shared" si="0"/>
        <v>40909</v>
      </c>
      <c r="C77" s="332">
        <f t="shared" si="7"/>
        <v>1138248.70139565</v>
      </c>
      <c r="D77" s="332">
        <f t="shared" si="1"/>
        <v>8863.821186236893</v>
      </c>
      <c r="E77" s="333">
        <f t="shared" si="2"/>
        <v>0</v>
      </c>
      <c r="F77" s="332">
        <f t="shared" si="3"/>
        <v>8863.821186236893</v>
      </c>
      <c r="G77" s="332">
        <f t="shared" si="4"/>
        <v>3172.577679258645</v>
      </c>
      <c r="H77" s="332">
        <f t="shared" si="8"/>
        <v>5691.243506978249</v>
      </c>
      <c r="I77" s="332">
        <f t="shared" si="5"/>
        <v>1135076.1237163914</v>
      </c>
      <c r="J77" s="332">
        <f>SUM($H$18:$H77)</f>
        <v>366905.3948906047</v>
      </c>
    </row>
    <row r="78" spans="1:10" ht="12.75">
      <c r="A78" s="329">
        <f t="shared" si="6"/>
        <v>61</v>
      </c>
      <c r="B78" s="330">
        <f t="shared" si="0"/>
        <v>40940</v>
      </c>
      <c r="C78" s="332">
        <f t="shared" si="7"/>
        <v>1135076.1237163914</v>
      </c>
      <c r="D78" s="332">
        <f t="shared" si="1"/>
        <v>8863.821186236893</v>
      </c>
      <c r="E78" s="333">
        <f t="shared" si="2"/>
        <v>0</v>
      </c>
      <c r="F78" s="332">
        <f t="shared" si="3"/>
        <v>8863.821186236893</v>
      </c>
      <c r="G78" s="332">
        <f t="shared" si="4"/>
        <v>3188.440567654937</v>
      </c>
      <c r="H78" s="332">
        <f t="shared" si="8"/>
        <v>5675.380618581957</v>
      </c>
      <c r="I78" s="332">
        <f t="shared" si="5"/>
        <v>1131887.6831487364</v>
      </c>
      <c r="J78" s="332">
        <f>SUM($H$18:$H78)</f>
        <v>372580.7755091867</v>
      </c>
    </row>
    <row r="79" spans="1:10" ht="12.75">
      <c r="A79" s="329">
        <f t="shared" si="6"/>
        <v>62</v>
      </c>
      <c r="B79" s="330">
        <f t="shared" si="0"/>
        <v>40969</v>
      </c>
      <c r="C79" s="332">
        <f t="shared" si="7"/>
        <v>1131887.6831487364</v>
      </c>
      <c r="D79" s="332">
        <f t="shared" si="1"/>
        <v>8863.821186236893</v>
      </c>
      <c r="E79" s="333">
        <f t="shared" si="2"/>
        <v>0</v>
      </c>
      <c r="F79" s="332">
        <f t="shared" si="3"/>
        <v>8863.821186236893</v>
      </c>
      <c r="G79" s="332">
        <f t="shared" si="4"/>
        <v>3204.382770493211</v>
      </c>
      <c r="H79" s="332">
        <f t="shared" si="8"/>
        <v>5659.4384157436825</v>
      </c>
      <c r="I79" s="332">
        <f t="shared" si="5"/>
        <v>1128683.3003782432</v>
      </c>
      <c r="J79" s="332">
        <f>SUM($H$18:$H79)</f>
        <v>378240.2139249304</v>
      </c>
    </row>
    <row r="80" spans="1:10" ht="12.75">
      <c r="A80" s="329">
        <f t="shared" si="6"/>
        <v>63</v>
      </c>
      <c r="B80" s="330">
        <f t="shared" si="0"/>
        <v>41000</v>
      </c>
      <c r="C80" s="332">
        <f t="shared" si="7"/>
        <v>1128683.3003782432</v>
      </c>
      <c r="D80" s="332">
        <f t="shared" si="1"/>
        <v>8863.821186236893</v>
      </c>
      <c r="E80" s="333">
        <f t="shared" si="2"/>
        <v>0</v>
      </c>
      <c r="F80" s="332">
        <f t="shared" si="3"/>
        <v>8863.821186236893</v>
      </c>
      <c r="G80" s="332">
        <f t="shared" si="4"/>
        <v>3220.404684345677</v>
      </c>
      <c r="H80" s="332">
        <f t="shared" si="8"/>
        <v>5643.416501891216</v>
      </c>
      <c r="I80" s="332">
        <f t="shared" si="5"/>
        <v>1125462.8956938975</v>
      </c>
      <c r="J80" s="332">
        <f>SUM($H$18:$H80)</f>
        <v>383883.6304268216</v>
      </c>
    </row>
    <row r="81" spans="1:10" ht="12.75">
      <c r="A81" s="329">
        <f t="shared" si="6"/>
        <v>64</v>
      </c>
      <c r="B81" s="330">
        <f t="shared" si="0"/>
        <v>41030</v>
      </c>
      <c r="C81" s="332">
        <f t="shared" si="7"/>
        <v>1125462.8956938975</v>
      </c>
      <c r="D81" s="332">
        <f t="shared" si="1"/>
        <v>8863.821186236893</v>
      </c>
      <c r="E81" s="333">
        <f t="shared" si="2"/>
        <v>0</v>
      </c>
      <c r="F81" s="332">
        <f t="shared" si="3"/>
        <v>8863.821186236893</v>
      </c>
      <c r="G81" s="332">
        <f t="shared" si="4"/>
        <v>3236.5067077674057</v>
      </c>
      <c r="H81" s="332">
        <f t="shared" si="8"/>
        <v>5627.314478469488</v>
      </c>
      <c r="I81" s="332">
        <f t="shared" si="5"/>
        <v>1122226.38898613</v>
      </c>
      <c r="J81" s="332">
        <f>SUM($H$18:$H81)</f>
        <v>389510.9449052911</v>
      </c>
    </row>
    <row r="82" spans="1:10" ht="12.75">
      <c r="A82" s="329">
        <f t="shared" si="6"/>
        <v>65</v>
      </c>
      <c r="B82" s="330">
        <f aca="true" t="shared" si="9" ref="B82:B145">IF(Pay_Num_3&lt;&gt;"",DATE(YEAR(Loan_Start_3),MONTH(Loan_Start_3)+(Pay_Num_3)*12/Num_Pmt_Per_Year_3,DAY(Loan_Start_3)),"")</f>
        <v>41061</v>
      </c>
      <c r="C82" s="332">
        <f t="shared" si="7"/>
        <v>1122226.38898613</v>
      </c>
      <c r="D82" s="332">
        <f aca="true" t="shared" si="10" ref="D82:D145">IF(Pay_Num_3&lt;&gt;"",Scheduled_Monthly_Payment_3,"")</f>
        <v>8863.821186236893</v>
      </c>
      <c r="E82" s="333">
        <f aca="true" t="shared" si="11" ref="E82:E145">IF(AND(Pay_Num_3&lt;&gt;"",Sched_Pay_3+Scheduled_Extra_Payments_3&lt;Beg_Bal_3),Scheduled_Extra_Payments_3,IF(AND(Pay_Num_3&lt;&gt;"",Beg_Bal_3-Sched_Pay_3&gt;0),Beg_Bal_3-Sched_Pay_3,IF(Pay_Num_3&lt;&gt;"",0,"")))</f>
        <v>0</v>
      </c>
      <c r="F82" s="332">
        <f aca="true" t="shared" si="12" ref="F82:F145">IF(AND(Pay_Num_3&lt;&gt;"",Sched_Pay_3+Extra_Pay_3&lt;Beg_Bal_3),Sched_Pay_3+Extra_Pay_3,IF(Pay_Num_3&lt;&gt;"",Beg_Bal_3,""))</f>
        <v>8863.821186236893</v>
      </c>
      <c r="G82" s="332">
        <f aca="true" t="shared" si="13" ref="G82:G145">IF(Pay_Num_3&lt;&gt;"",Total_Pay_3-Int_3,"")</f>
        <v>3252.6892413062433</v>
      </c>
      <c r="H82" s="332">
        <f t="shared" si="8"/>
        <v>5611.13194493065</v>
      </c>
      <c r="I82" s="332">
        <f aca="true" t="shared" si="14" ref="I82:I145">IF(AND(Pay_Num_3&lt;&gt;"",Sched_Pay_3+Extra_Pay_3&lt;Beg_Bal_3),Beg_Bal_3-Princ_3,IF(Pay_Num_3&lt;&gt;"",0,""))</f>
        <v>1118973.6997448239</v>
      </c>
      <c r="J82" s="332">
        <f>SUM($H$18:$H82)</f>
        <v>395122.0768502217</v>
      </c>
    </row>
    <row r="83" spans="1:10" ht="12.75">
      <c r="A83" s="329">
        <f aca="true" t="shared" si="15" ref="A83:A146">IF(Values_Entered_3,A82+1,"")</f>
        <v>66</v>
      </c>
      <c r="B83" s="330">
        <f t="shared" si="9"/>
        <v>41091</v>
      </c>
      <c r="C83" s="332">
        <f aca="true" t="shared" si="16" ref="C83:C146">IF(Pay_Num_3&lt;&gt;"",I82,"")</f>
        <v>1118973.6997448239</v>
      </c>
      <c r="D83" s="332">
        <f t="shared" si="10"/>
        <v>8863.821186236893</v>
      </c>
      <c r="E83" s="333">
        <f t="shared" si="11"/>
        <v>0</v>
      </c>
      <c r="F83" s="332">
        <f t="shared" si="12"/>
        <v>8863.821186236893</v>
      </c>
      <c r="G83" s="332">
        <f t="shared" si="13"/>
        <v>3268.952687512775</v>
      </c>
      <c r="H83" s="332">
        <f aca="true" t="shared" si="17" ref="H83:H146">IF(Pay_Num_3&lt;&gt;"",Beg_Bal_3*Interest_Rate_3/Num_Pmt_Per_Year_3,"")</f>
        <v>5594.868498724119</v>
      </c>
      <c r="I83" s="332">
        <f t="shared" si="14"/>
        <v>1115704.747057311</v>
      </c>
      <c r="J83" s="332">
        <f>SUM($H$18:$H83)</f>
        <v>400716.94534894585</v>
      </c>
    </row>
    <row r="84" spans="1:10" ht="12.75">
      <c r="A84" s="329">
        <f t="shared" si="15"/>
        <v>67</v>
      </c>
      <c r="B84" s="330">
        <f t="shared" si="9"/>
        <v>41122</v>
      </c>
      <c r="C84" s="332">
        <f t="shared" si="16"/>
        <v>1115704.747057311</v>
      </c>
      <c r="D84" s="332">
        <f t="shared" si="10"/>
        <v>8863.821186236893</v>
      </c>
      <c r="E84" s="333">
        <f t="shared" si="11"/>
        <v>0</v>
      </c>
      <c r="F84" s="332">
        <f t="shared" si="12"/>
        <v>8863.821186236893</v>
      </c>
      <c r="G84" s="332">
        <f t="shared" si="13"/>
        <v>3285.2974509503383</v>
      </c>
      <c r="H84" s="332">
        <f t="shared" si="17"/>
        <v>5578.523735286555</v>
      </c>
      <c r="I84" s="332">
        <f t="shared" si="14"/>
        <v>1112419.4496063606</v>
      </c>
      <c r="J84" s="332">
        <f>SUM($H$18:$H84)</f>
        <v>406295.4690842324</v>
      </c>
    </row>
    <row r="85" spans="1:10" ht="12.75">
      <c r="A85" s="329">
        <f t="shared" si="15"/>
        <v>68</v>
      </c>
      <c r="B85" s="330">
        <f t="shared" si="9"/>
        <v>41153</v>
      </c>
      <c r="C85" s="332">
        <f t="shared" si="16"/>
        <v>1112419.4496063606</v>
      </c>
      <c r="D85" s="332">
        <f t="shared" si="10"/>
        <v>8863.821186236893</v>
      </c>
      <c r="E85" s="333">
        <f t="shared" si="11"/>
        <v>0</v>
      </c>
      <c r="F85" s="332">
        <f t="shared" si="12"/>
        <v>8863.821186236893</v>
      </c>
      <c r="G85" s="332">
        <f t="shared" si="13"/>
        <v>3301.723938205091</v>
      </c>
      <c r="H85" s="332">
        <f t="shared" si="17"/>
        <v>5562.097248031802</v>
      </c>
      <c r="I85" s="332">
        <f t="shared" si="14"/>
        <v>1109117.7256681556</v>
      </c>
      <c r="J85" s="332">
        <f>SUM($H$18:$H85)</f>
        <v>411857.5663322642</v>
      </c>
    </row>
    <row r="86" spans="1:10" ht="12.75">
      <c r="A86" s="329">
        <f t="shared" si="15"/>
        <v>69</v>
      </c>
      <c r="B86" s="330">
        <f t="shared" si="9"/>
        <v>41183</v>
      </c>
      <c r="C86" s="332">
        <f t="shared" si="16"/>
        <v>1109117.7256681556</v>
      </c>
      <c r="D86" s="332">
        <f t="shared" si="10"/>
        <v>8863.821186236893</v>
      </c>
      <c r="E86" s="333">
        <f t="shared" si="11"/>
        <v>0</v>
      </c>
      <c r="F86" s="332">
        <f t="shared" si="12"/>
        <v>8863.821186236893</v>
      </c>
      <c r="G86" s="332">
        <f t="shared" si="13"/>
        <v>3318.2325578961154</v>
      </c>
      <c r="H86" s="332">
        <f t="shared" si="17"/>
        <v>5545.588628340778</v>
      </c>
      <c r="I86" s="332">
        <f t="shared" si="14"/>
        <v>1105799.4931102595</v>
      </c>
      <c r="J86" s="332">
        <f>SUM($H$18:$H86)</f>
        <v>417403.154960605</v>
      </c>
    </row>
    <row r="87" spans="1:10" ht="12.75">
      <c r="A87" s="329">
        <f t="shared" si="15"/>
        <v>70</v>
      </c>
      <c r="B87" s="330">
        <f t="shared" si="9"/>
        <v>41214</v>
      </c>
      <c r="C87" s="332">
        <f t="shared" si="16"/>
        <v>1105799.4931102595</v>
      </c>
      <c r="D87" s="332">
        <f t="shared" si="10"/>
        <v>8863.821186236893</v>
      </c>
      <c r="E87" s="333">
        <f t="shared" si="11"/>
        <v>0</v>
      </c>
      <c r="F87" s="332">
        <f t="shared" si="12"/>
        <v>8863.821186236893</v>
      </c>
      <c r="G87" s="332">
        <f t="shared" si="13"/>
        <v>3334.8237206855965</v>
      </c>
      <c r="H87" s="332">
        <f t="shared" si="17"/>
        <v>5528.997465551297</v>
      </c>
      <c r="I87" s="332">
        <f t="shared" si="14"/>
        <v>1102464.6693895739</v>
      </c>
      <c r="J87" s="332">
        <f>SUM($H$18:$H87)</f>
        <v>422932.15242615633</v>
      </c>
    </row>
    <row r="88" spans="1:10" ht="12.75">
      <c r="A88" s="329">
        <f t="shared" si="15"/>
        <v>71</v>
      </c>
      <c r="B88" s="330">
        <f t="shared" si="9"/>
        <v>41244</v>
      </c>
      <c r="C88" s="332">
        <f t="shared" si="16"/>
        <v>1102464.6693895739</v>
      </c>
      <c r="D88" s="332">
        <f t="shared" si="10"/>
        <v>8863.821186236893</v>
      </c>
      <c r="E88" s="333">
        <f t="shared" si="11"/>
        <v>0</v>
      </c>
      <c r="F88" s="332">
        <f t="shared" si="12"/>
        <v>8863.821186236893</v>
      </c>
      <c r="G88" s="332">
        <f t="shared" si="13"/>
        <v>3351.4978392890243</v>
      </c>
      <c r="H88" s="332">
        <f t="shared" si="17"/>
        <v>5512.323346947869</v>
      </c>
      <c r="I88" s="332">
        <f t="shared" si="14"/>
        <v>1099113.1715502848</v>
      </c>
      <c r="J88" s="332">
        <f>SUM($H$18:$H88)</f>
        <v>428444.4757731042</v>
      </c>
    </row>
    <row r="89" spans="1:10" ht="12.75">
      <c r="A89" s="329">
        <f t="shared" si="15"/>
        <v>72</v>
      </c>
      <c r="B89" s="330">
        <f t="shared" si="9"/>
        <v>41275</v>
      </c>
      <c r="C89" s="332">
        <f t="shared" si="16"/>
        <v>1099113.1715502848</v>
      </c>
      <c r="D89" s="332">
        <f t="shared" si="10"/>
        <v>8863.821186236893</v>
      </c>
      <c r="E89" s="333">
        <f t="shared" si="11"/>
        <v>0</v>
      </c>
      <c r="F89" s="332">
        <f t="shared" si="12"/>
        <v>8863.821186236893</v>
      </c>
      <c r="G89" s="332">
        <f t="shared" si="13"/>
        <v>3368.2553284854703</v>
      </c>
      <c r="H89" s="332">
        <f t="shared" si="17"/>
        <v>5495.565857751423</v>
      </c>
      <c r="I89" s="332">
        <f t="shared" si="14"/>
        <v>1095744.9162217993</v>
      </c>
      <c r="J89" s="332">
        <f>SUM($H$18:$H89)</f>
        <v>433940.0416308556</v>
      </c>
    </row>
    <row r="90" spans="1:10" ht="12.75">
      <c r="A90" s="329">
        <f t="shared" si="15"/>
        <v>73</v>
      </c>
      <c r="B90" s="330">
        <f t="shared" si="9"/>
        <v>41306</v>
      </c>
      <c r="C90" s="332">
        <f t="shared" si="16"/>
        <v>1095744.9162217993</v>
      </c>
      <c r="D90" s="332">
        <f t="shared" si="10"/>
        <v>8863.821186236893</v>
      </c>
      <c r="E90" s="333">
        <f t="shared" si="11"/>
        <v>0</v>
      </c>
      <c r="F90" s="332">
        <f t="shared" si="12"/>
        <v>8863.821186236893</v>
      </c>
      <c r="G90" s="332">
        <f t="shared" si="13"/>
        <v>3385.0966051278974</v>
      </c>
      <c r="H90" s="332">
        <f t="shared" si="17"/>
        <v>5478.724581108996</v>
      </c>
      <c r="I90" s="332">
        <f t="shared" si="14"/>
        <v>1092359.8196166714</v>
      </c>
      <c r="J90" s="332">
        <f>SUM($H$18:$H90)</f>
        <v>439418.7662119646</v>
      </c>
    </row>
    <row r="91" spans="1:10" ht="12.75">
      <c r="A91" s="329">
        <f t="shared" si="15"/>
        <v>74</v>
      </c>
      <c r="B91" s="330">
        <f t="shared" si="9"/>
        <v>41334</v>
      </c>
      <c r="C91" s="332">
        <f t="shared" si="16"/>
        <v>1092359.8196166714</v>
      </c>
      <c r="D91" s="332">
        <f t="shared" si="10"/>
        <v>8863.821186236893</v>
      </c>
      <c r="E91" s="333">
        <f t="shared" si="11"/>
        <v>0</v>
      </c>
      <c r="F91" s="332">
        <f t="shared" si="12"/>
        <v>8863.821186236893</v>
      </c>
      <c r="G91" s="332">
        <f t="shared" si="13"/>
        <v>3402.022088153537</v>
      </c>
      <c r="H91" s="332">
        <f t="shared" si="17"/>
        <v>5461.7990980833565</v>
      </c>
      <c r="I91" s="332">
        <f t="shared" si="14"/>
        <v>1088957.797528518</v>
      </c>
      <c r="J91" s="332">
        <f>SUM($H$18:$H91)</f>
        <v>444880.56531004794</v>
      </c>
    </row>
    <row r="92" spans="1:10" ht="12.75">
      <c r="A92" s="329">
        <f t="shared" si="15"/>
        <v>75</v>
      </c>
      <c r="B92" s="330">
        <f t="shared" si="9"/>
        <v>41365</v>
      </c>
      <c r="C92" s="332">
        <f t="shared" si="16"/>
        <v>1088957.797528518</v>
      </c>
      <c r="D92" s="332">
        <f t="shared" si="10"/>
        <v>8863.821186236893</v>
      </c>
      <c r="E92" s="333">
        <f t="shared" si="11"/>
        <v>0</v>
      </c>
      <c r="F92" s="332">
        <f t="shared" si="12"/>
        <v>8863.821186236893</v>
      </c>
      <c r="G92" s="332">
        <f t="shared" si="13"/>
        <v>3419.0321985943037</v>
      </c>
      <c r="H92" s="332">
        <f t="shared" si="17"/>
        <v>5444.78898764259</v>
      </c>
      <c r="I92" s="332">
        <f t="shared" si="14"/>
        <v>1085538.7653299235</v>
      </c>
      <c r="J92" s="332">
        <f>SUM($H$18:$H92)</f>
        <v>450325.3542976905</v>
      </c>
    </row>
    <row r="93" spans="1:10" ht="12.75">
      <c r="A93" s="329">
        <f t="shared" si="15"/>
        <v>76</v>
      </c>
      <c r="B93" s="330">
        <f t="shared" si="9"/>
        <v>41395</v>
      </c>
      <c r="C93" s="332">
        <f t="shared" si="16"/>
        <v>1085538.7653299235</v>
      </c>
      <c r="D93" s="332">
        <f t="shared" si="10"/>
        <v>8863.821186236893</v>
      </c>
      <c r="E93" s="333">
        <f t="shared" si="11"/>
        <v>0</v>
      </c>
      <c r="F93" s="332">
        <f t="shared" si="12"/>
        <v>8863.821186236893</v>
      </c>
      <c r="G93" s="332">
        <f t="shared" si="13"/>
        <v>3436.1273595872763</v>
      </c>
      <c r="H93" s="332">
        <f t="shared" si="17"/>
        <v>5427.693826649617</v>
      </c>
      <c r="I93" s="332">
        <f t="shared" si="14"/>
        <v>1082102.6379703362</v>
      </c>
      <c r="J93" s="332">
        <f>SUM($H$18:$H93)</f>
        <v>455753.04812434013</v>
      </c>
    </row>
    <row r="94" spans="1:10" ht="12.75">
      <c r="A94" s="329">
        <f t="shared" si="15"/>
        <v>77</v>
      </c>
      <c r="B94" s="330">
        <f t="shared" si="9"/>
        <v>41426</v>
      </c>
      <c r="C94" s="332">
        <f t="shared" si="16"/>
        <v>1082102.6379703362</v>
      </c>
      <c r="D94" s="332">
        <f t="shared" si="10"/>
        <v>8863.821186236893</v>
      </c>
      <c r="E94" s="333">
        <f t="shared" si="11"/>
        <v>0</v>
      </c>
      <c r="F94" s="332">
        <f t="shared" si="12"/>
        <v>8863.821186236893</v>
      </c>
      <c r="G94" s="332">
        <f t="shared" si="13"/>
        <v>3453.3079963852124</v>
      </c>
      <c r="H94" s="332">
        <f t="shared" si="17"/>
        <v>5410.513189851681</v>
      </c>
      <c r="I94" s="332">
        <f t="shared" si="14"/>
        <v>1078649.329973951</v>
      </c>
      <c r="J94" s="332">
        <f>SUM($H$18:$H94)</f>
        <v>461163.5613141918</v>
      </c>
    </row>
    <row r="95" spans="1:10" ht="12.75">
      <c r="A95" s="329">
        <f t="shared" si="15"/>
        <v>78</v>
      </c>
      <c r="B95" s="330">
        <f t="shared" si="9"/>
        <v>41456</v>
      </c>
      <c r="C95" s="332">
        <f t="shared" si="16"/>
        <v>1078649.329973951</v>
      </c>
      <c r="D95" s="332">
        <f t="shared" si="10"/>
        <v>8863.821186236893</v>
      </c>
      <c r="E95" s="333">
        <f t="shared" si="11"/>
        <v>0</v>
      </c>
      <c r="F95" s="332">
        <f t="shared" si="12"/>
        <v>8863.821186236893</v>
      </c>
      <c r="G95" s="332">
        <f t="shared" si="13"/>
        <v>3470.5745363671385</v>
      </c>
      <c r="H95" s="332">
        <f t="shared" si="17"/>
        <v>5393.246649869755</v>
      </c>
      <c r="I95" s="332">
        <f t="shared" si="14"/>
        <v>1075178.755437584</v>
      </c>
      <c r="J95" s="332">
        <f>SUM($H$18:$H95)</f>
        <v>466556.80796406156</v>
      </c>
    </row>
    <row r="96" spans="1:10" ht="12.75">
      <c r="A96" s="329">
        <f t="shared" si="15"/>
        <v>79</v>
      </c>
      <c r="B96" s="330">
        <f t="shared" si="9"/>
        <v>41487</v>
      </c>
      <c r="C96" s="332">
        <f t="shared" si="16"/>
        <v>1075178.755437584</v>
      </c>
      <c r="D96" s="332">
        <f t="shared" si="10"/>
        <v>8863.821186236893</v>
      </c>
      <c r="E96" s="333">
        <f t="shared" si="11"/>
        <v>0</v>
      </c>
      <c r="F96" s="332">
        <f t="shared" si="12"/>
        <v>8863.821186236893</v>
      </c>
      <c r="G96" s="332">
        <f t="shared" si="13"/>
        <v>3487.9274090489744</v>
      </c>
      <c r="H96" s="332">
        <f t="shared" si="17"/>
        <v>5375.893777187919</v>
      </c>
      <c r="I96" s="332">
        <f t="shared" si="14"/>
        <v>1071690.828028535</v>
      </c>
      <c r="J96" s="332">
        <f>SUM($H$18:$H96)</f>
        <v>471932.7017412495</v>
      </c>
    </row>
    <row r="97" spans="1:10" ht="12.75">
      <c r="A97" s="329">
        <f t="shared" si="15"/>
        <v>80</v>
      </c>
      <c r="B97" s="330">
        <f t="shared" si="9"/>
        <v>41518</v>
      </c>
      <c r="C97" s="332">
        <f t="shared" si="16"/>
        <v>1071690.828028535</v>
      </c>
      <c r="D97" s="332">
        <f t="shared" si="10"/>
        <v>8863.821186236893</v>
      </c>
      <c r="E97" s="333">
        <f t="shared" si="11"/>
        <v>0</v>
      </c>
      <c r="F97" s="332">
        <f t="shared" si="12"/>
        <v>8863.821186236893</v>
      </c>
      <c r="G97" s="332">
        <f t="shared" si="13"/>
        <v>3505.3670460942185</v>
      </c>
      <c r="H97" s="332">
        <f t="shared" si="17"/>
        <v>5358.454140142675</v>
      </c>
      <c r="I97" s="332">
        <f t="shared" si="14"/>
        <v>1068185.4609824407</v>
      </c>
      <c r="J97" s="332">
        <f>SUM($H$18:$H97)</f>
        <v>477291.15588139213</v>
      </c>
    </row>
    <row r="98" spans="1:10" ht="12.75">
      <c r="A98" s="329">
        <f t="shared" si="15"/>
        <v>81</v>
      </c>
      <c r="B98" s="330">
        <f t="shared" si="9"/>
        <v>41548</v>
      </c>
      <c r="C98" s="332">
        <f t="shared" si="16"/>
        <v>1068185.4609824407</v>
      </c>
      <c r="D98" s="332">
        <f t="shared" si="10"/>
        <v>8863.821186236893</v>
      </c>
      <c r="E98" s="333">
        <f t="shared" si="11"/>
        <v>0</v>
      </c>
      <c r="F98" s="332">
        <f t="shared" si="12"/>
        <v>8863.821186236893</v>
      </c>
      <c r="G98" s="332">
        <f t="shared" si="13"/>
        <v>3522.8938813246905</v>
      </c>
      <c r="H98" s="332">
        <f t="shared" si="17"/>
        <v>5340.927304912203</v>
      </c>
      <c r="I98" s="332">
        <f t="shared" si="14"/>
        <v>1064662.567101116</v>
      </c>
      <c r="J98" s="332">
        <f>SUM($H$18:$H98)</f>
        <v>482632.0831863043</v>
      </c>
    </row>
    <row r="99" spans="1:10" ht="12.75">
      <c r="A99" s="329">
        <f t="shared" si="15"/>
        <v>82</v>
      </c>
      <c r="B99" s="330">
        <f t="shared" si="9"/>
        <v>41579</v>
      </c>
      <c r="C99" s="332">
        <f t="shared" si="16"/>
        <v>1064662.567101116</v>
      </c>
      <c r="D99" s="332">
        <f t="shared" si="10"/>
        <v>8863.821186236893</v>
      </c>
      <c r="E99" s="333">
        <f t="shared" si="11"/>
        <v>0</v>
      </c>
      <c r="F99" s="332">
        <f t="shared" si="12"/>
        <v>8863.821186236893</v>
      </c>
      <c r="G99" s="332">
        <f t="shared" si="13"/>
        <v>3540.508350731313</v>
      </c>
      <c r="H99" s="332">
        <f t="shared" si="17"/>
        <v>5323.312835505581</v>
      </c>
      <c r="I99" s="332">
        <f t="shared" si="14"/>
        <v>1061122.0587503847</v>
      </c>
      <c r="J99" s="332">
        <f>SUM($H$18:$H99)</f>
        <v>487955.3960218099</v>
      </c>
    </row>
    <row r="100" spans="1:10" ht="12.75">
      <c r="A100" s="329">
        <f t="shared" si="15"/>
        <v>83</v>
      </c>
      <c r="B100" s="330">
        <f t="shared" si="9"/>
        <v>41609</v>
      </c>
      <c r="C100" s="332">
        <f t="shared" si="16"/>
        <v>1061122.0587503847</v>
      </c>
      <c r="D100" s="332">
        <f t="shared" si="10"/>
        <v>8863.821186236893</v>
      </c>
      <c r="E100" s="333">
        <f t="shared" si="11"/>
        <v>0</v>
      </c>
      <c r="F100" s="332">
        <f t="shared" si="12"/>
        <v>8863.821186236893</v>
      </c>
      <c r="G100" s="332">
        <f t="shared" si="13"/>
        <v>3558.21089248497</v>
      </c>
      <c r="H100" s="332">
        <f t="shared" si="17"/>
        <v>5305.610293751924</v>
      </c>
      <c r="I100" s="332">
        <f t="shared" si="14"/>
        <v>1057563.8478578997</v>
      </c>
      <c r="J100" s="332">
        <f>SUM($H$18:$H100)</f>
        <v>493261.0063155618</v>
      </c>
    </row>
    <row r="101" spans="1:10" ht="12.75">
      <c r="A101" s="329">
        <f t="shared" si="15"/>
        <v>84</v>
      </c>
      <c r="B101" s="330">
        <f t="shared" si="9"/>
        <v>41640</v>
      </c>
      <c r="C101" s="332">
        <f t="shared" si="16"/>
        <v>1057563.8478578997</v>
      </c>
      <c r="D101" s="332">
        <f t="shared" si="10"/>
        <v>8863.821186236893</v>
      </c>
      <c r="E101" s="333">
        <f t="shared" si="11"/>
        <v>0</v>
      </c>
      <c r="F101" s="332">
        <f t="shared" si="12"/>
        <v>8863.821186236893</v>
      </c>
      <c r="G101" s="332">
        <f t="shared" si="13"/>
        <v>3576.0019469473946</v>
      </c>
      <c r="H101" s="332">
        <f t="shared" si="17"/>
        <v>5287.819239289499</v>
      </c>
      <c r="I101" s="332">
        <f t="shared" si="14"/>
        <v>1053987.8459109524</v>
      </c>
      <c r="J101" s="332">
        <f>SUM($H$18:$H101)</f>
        <v>498548.8255548513</v>
      </c>
    </row>
    <row r="102" spans="1:10" ht="12.75">
      <c r="A102" s="329">
        <f t="shared" si="15"/>
        <v>85</v>
      </c>
      <c r="B102" s="330">
        <f t="shared" si="9"/>
        <v>41671</v>
      </c>
      <c r="C102" s="332">
        <f t="shared" si="16"/>
        <v>1053987.8459109524</v>
      </c>
      <c r="D102" s="332">
        <f t="shared" si="10"/>
        <v>8863.821186236893</v>
      </c>
      <c r="E102" s="333">
        <f t="shared" si="11"/>
        <v>0</v>
      </c>
      <c r="F102" s="332">
        <f t="shared" si="12"/>
        <v>8863.821186236893</v>
      </c>
      <c r="G102" s="332">
        <f t="shared" si="13"/>
        <v>3593.881956682132</v>
      </c>
      <c r="H102" s="332">
        <f t="shared" si="17"/>
        <v>5269.939229554761</v>
      </c>
      <c r="I102" s="332">
        <f t="shared" si="14"/>
        <v>1050393.9639542704</v>
      </c>
      <c r="J102" s="332">
        <f>SUM($H$18:$H102)</f>
        <v>503818.7647844061</v>
      </c>
    </row>
    <row r="103" spans="1:10" ht="12.75">
      <c r="A103" s="329">
        <f t="shared" si="15"/>
        <v>86</v>
      </c>
      <c r="B103" s="330">
        <f t="shared" si="9"/>
        <v>41699</v>
      </c>
      <c r="C103" s="332">
        <f t="shared" si="16"/>
        <v>1050393.9639542704</v>
      </c>
      <c r="D103" s="332">
        <f t="shared" si="10"/>
        <v>8863.821186236893</v>
      </c>
      <c r="E103" s="333">
        <f t="shared" si="11"/>
        <v>0</v>
      </c>
      <c r="F103" s="332">
        <f t="shared" si="12"/>
        <v>8863.821186236893</v>
      </c>
      <c r="G103" s="332">
        <f t="shared" si="13"/>
        <v>3611.851366465542</v>
      </c>
      <c r="H103" s="332">
        <f t="shared" si="17"/>
        <v>5251.9698197713515</v>
      </c>
      <c r="I103" s="332">
        <f t="shared" si="14"/>
        <v>1046782.1125878048</v>
      </c>
      <c r="J103" s="332">
        <f>SUM($H$18:$H103)</f>
        <v>509070.7346041775</v>
      </c>
    </row>
    <row r="104" spans="1:10" ht="12.75">
      <c r="A104" s="329">
        <f t="shared" si="15"/>
        <v>87</v>
      </c>
      <c r="B104" s="330">
        <f t="shared" si="9"/>
        <v>41730</v>
      </c>
      <c r="C104" s="332">
        <f t="shared" si="16"/>
        <v>1046782.1125878048</v>
      </c>
      <c r="D104" s="332">
        <f t="shared" si="10"/>
        <v>8863.821186236893</v>
      </c>
      <c r="E104" s="333">
        <f t="shared" si="11"/>
        <v>0</v>
      </c>
      <c r="F104" s="332">
        <f t="shared" si="12"/>
        <v>8863.821186236893</v>
      </c>
      <c r="G104" s="332">
        <f t="shared" si="13"/>
        <v>3629.9106232978693</v>
      </c>
      <c r="H104" s="332">
        <f t="shared" si="17"/>
        <v>5233.910562939024</v>
      </c>
      <c r="I104" s="332">
        <f t="shared" si="14"/>
        <v>1043152.2019645069</v>
      </c>
      <c r="J104" s="332">
        <f>SUM($H$18:$H104)</f>
        <v>514304.6451671165</v>
      </c>
    </row>
    <row r="105" spans="1:10" ht="12.75">
      <c r="A105" s="329">
        <f t="shared" si="15"/>
        <v>88</v>
      </c>
      <c r="B105" s="330">
        <f t="shared" si="9"/>
        <v>41760</v>
      </c>
      <c r="C105" s="332">
        <f t="shared" si="16"/>
        <v>1043152.2019645069</v>
      </c>
      <c r="D105" s="332">
        <f t="shared" si="10"/>
        <v>8863.821186236893</v>
      </c>
      <c r="E105" s="333">
        <f t="shared" si="11"/>
        <v>0</v>
      </c>
      <c r="F105" s="332">
        <f t="shared" si="12"/>
        <v>8863.821186236893</v>
      </c>
      <c r="G105" s="332">
        <f t="shared" si="13"/>
        <v>3648.0601764143594</v>
      </c>
      <c r="H105" s="332">
        <f t="shared" si="17"/>
        <v>5215.761009822534</v>
      </c>
      <c r="I105" s="332">
        <f t="shared" si="14"/>
        <v>1039504.1417880926</v>
      </c>
      <c r="J105" s="332">
        <f>SUM($H$18:$H105)</f>
        <v>519520.406176939</v>
      </c>
    </row>
    <row r="106" spans="1:10" ht="12.75">
      <c r="A106" s="329">
        <f t="shared" si="15"/>
        <v>89</v>
      </c>
      <c r="B106" s="330">
        <f t="shared" si="9"/>
        <v>41791</v>
      </c>
      <c r="C106" s="332">
        <f t="shared" si="16"/>
        <v>1039504.1417880926</v>
      </c>
      <c r="D106" s="332">
        <f t="shared" si="10"/>
        <v>8863.821186236893</v>
      </c>
      <c r="E106" s="333">
        <f t="shared" si="11"/>
        <v>0</v>
      </c>
      <c r="F106" s="332">
        <f t="shared" si="12"/>
        <v>8863.821186236893</v>
      </c>
      <c r="G106" s="332">
        <f t="shared" si="13"/>
        <v>3666.3004772964314</v>
      </c>
      <c r="H106" s="332">
        <f t="shared" si="17"/>
        <v>5197.520708940462</v>
      </c>
      <c r="I106" s="332">
        <f t="shared" si="14"/>
        <v>1035837.8413107961</v>
      </c>
      <c r="J106" s="332">
        <f>SUM($H$18:$H106)</f>
        <v>524717.9268858795</v>
      </c>
    </row>
    <row r="107" spans="1:10" ht="12.75">
      <c r="A107" s="329">
        <f t="shared" si="15"/>
        <v>90</v>
      </c>
      <c r="B107" s="330">
        <f t="shared" si="9"/>
        <v>41821</v>
      </c>
      <c r="C107" s="332">
        <f t="shared" si="16"/>
        <v>1035837.8413107961</v>
      </c>
      <c r="D107" s="332">
        <f t="shared" si="10"/>
        <v>8863.821186236893</v>
      </c>
      <c r="E107" s="333">
        <f t="shared" si="11"/>
        <v>0</v>
      </c>
      <c r="F107" s="332">
        <f t="shared" si="12"/>
        <v>8863.821186236893</v>
      </c>
      <c r="G107" s="332">
        <f t="shared" si="13"/>
        <v>3684.631979682913</v>
      </c>
      <c r="H107" s="332">
        <f t="shared" si="17"/>
        <v>5179.1892065539805</v>
      </c>
      <c r="I107" s="332">
        <f t="shared" si="14"/>
        <v>1032153.2093311131</v>
      </c>
      <c r="J107" s="332">
        <f>SUM($H$18:$H107)</f>
        <v>529897.1160924335</v>
      </c>
    </row>
    <row r="108" spans="1:10" ht="12.75">
      <c r="A108" s="329">
        <f t="shared" si="15"/>
        <v>91</v>
      </c>
      <c r="B108" s="330">
        <f t="shared" si="9"/>
        <v>41852</v>
      </c>
      <c r="C108" s="332">
        <f t="shared" si="16"/>
        <v>1032153.2093311131</v>
      </c>
      <c r="D108" s="332">
        <f t="shared" si="10"/>
        <v>8863.821186236893</v>
      </c>
      <c r="E108" s="333">
        <f t="shared" si="11"/>
        <v>0</v>
      </c>
      <c r="F108" s="332">
        <f t="shared" si="12"/>
        <v>8863.821186236893</v>
      </c>
      <c r="G108" s="332">
        <f t="shared" si="13"/>
        <v>3703.055139581328</v>
      </c>
      <c r="H108" s="332">
        <f t="shared" si="17"/>
        <v>5160.766046655565</v>
      </c>
      <c r="I108" s="332">
        <f t="shared" si="14"/>
        <v>1028450.1541915318</v>
      </c>
      <c r="J108" s="332">
        <f>SUM($H$18:$H108)</f>
        <v>535057.882139089</v>
      </c>
    </row>
    <row r="109" spans="1:10" ht="12.75">
      <c r="A109" s="329">
        <f t="shared" si="15"/>
        <v>92</v>
      </c>
      <c r="B109" s="330">
        <f t="shared" si="9"/>
        <v>41883</v>
      </c>
      <c r="C109" s="332">
        <f t="shared" si="16"/>
        <v>1028450.1541915318</v>
      </c>
      <c r="D109" s="332">
        <f t="shared" si="10"/>
        <v>8863.821186236893</v>
      </c>
      <c r="E109" s="333">
        <f t="shared" si="11"/>
        <v>0</v>
      </c>
      <c r="F109" s="332">
        <f t="shared" si="12"/>
        <v>8863.821186236893</v>
      </c>
      <c r="G109" s="332">
        <f t="shared" si="13"/>
        <v>3721.570415279234</v>
      </c>
      <c r="H109" s="332">
        <f t="shared" si="17"/>
        <v>5142.250770957659</v>
      </c>
      <c r="I109" s="332">
        <f t="shared" si="14"/>
        <v>1024728.5837762526</v>
      </c>
      <c r="J109" s="332">
        <f>SUM($H$18:$H109)</f>
        <v>540200.1329100467</v>
      </c>
    </row>
    <row r="110" spans="1:10" ht="12.75">
      <c r="A110" s="329">
        <f t="shared" si="15"/>
        <v>93</v>
      </c>
      <c r="B110" s="330">
        <f t="shared" si="9"/>
        <v>41913</v>
      </c>
      <c r="C110" s="332">
        <f t="shared" si="16"/>
        <v>1024728.5837762526</v>
      </c>
      <c r="D110" s="332">
        <f t="shared" si="10"/>
        <v>8863.821186236893</v>
      </c>
      <c r="E110" s="333">
        <f t="shared" si="11"/>
        <v>0</v>
      </c>
      <c r="F110" s="332">
        <f t="shared" si="12"/>
        <v>8863.821186236893</v>
      </c>
      <c r="G110" s="332">
        <f t="shared" si="13"/>
        <v>3740.178267355631</v>
      </c>
      <c r="H110" s="332">
        <f t="shared" si="17"/>
        <v>5123.642918881263</v>
      </c>
      <c r="I110" s="332">
        <f t="shared" si="14"/>
        <v>1020988.4055088969</v>
      </c>
      <c r="J110" s="332">
        <f>SUM($H$18:$H110)</f>
        <v>545323.775828928</v>
      </c>
    </row>
    <row r="111" spans="1:10" ht="12.75">
      <c r="A111" s="329">
        <f t="shared" si="15"/>
        <v>94</v>
      </c>
      <c r="B111" s="330">
        <f t="shared" si="9"/>
        <v>41944</v>
      </c>
      <c r="C111" s="332">
        <f t="shared" si="16"/>
        <v>1020988.4055088969</v>
      </c>
      <c r="D111" s="332">
        <f t="shared" si="10"/>
        <v>8863.821186236893</v>
      </c>
      <c r="E111" s="333">
        <f t="shared" si="11"/>
        <v>0</v>
      </c>
      <c r="F111" s="332">
        <f t="shared" si="12"/>
        <v>8863.821186236893</v>
      </c>
      <c r="G111" s="332">
        <f t="shared" si="13"/>
        <v>3758.879158692409</v>
      </c>
      <c r="H111" s="332">
        <f t="shared" si="17"/>
        <v>5104.9420275444845</v>
      </c>
      <c r="I111" s="332">
        <f t="shared" si="14"/>
        <v>1017229.5263502045</v>
      </c>
      <c r="J111" s="332">
        <f>SUM($H$18:$H111)</f>
        <v>550428.7178564725</v>
      </c>
    </row>
    <row r="112" spans="1:10" ht="12.75">
      <c r="A112" s="329">
        <f t="shared" si="15"/>
        <v>95</v>
      </c>
      <c r="B112" s="330">
        <f t="shared" si="9"/>
        <v>41974</v>
      </c>
      <c r="C112" s="332">
        <f t="shared" si="16"/>
        <v>1017229.5263502045</v>
      </c>
      <c r="D112" s="332">
        <f t="shared" si="10"/>
        <v>8863.821186236893</v>
      </c>
      <c r="E112" s="333">
        <f t="shared" si="11"/>
        <v>0</v>
      </c>
      <c r="F112" s="332">
        <f t="shared" si="12"/>
        <v>8863.821186236893</v>
      </c>
      <c r="G112" s="332">
        <f t="shared" si="13"/>
        <v>3777.673554485871</v>
      </c>
      <c r="H112" s="332">
        <f t="shared" si="17"/>
        <v>5086.147631751022</v>
      </c>
      <c r="I112" s="332">
        <f t="shared" si="14"/>
        <v>1013451.8527957186</v>
      </c>
      <c r="J112" s="332">
        <f>SUM($H$18:$H112)</f>
        <v>555514.8654882235</v>
      </c>
    </row>
    <row r="113" spans="1:10" ht="12.75">
      <c r="A113" s="329">
        <f t="shared" si="15"/>
        <v>96</v>
      </c>
      <c r="B113" s="330">
        <f t="shared" si="9"/>
        <v>42005</v>
      </c>
      <c r="C113" s="332">
        <f t="shared" si="16"/>
        <v>1013451.8527957186</v>
      </c>
      <c r="D113" s="332">
        <f t="shared" si="10"/>
        <v>8863.821186236893</v>
      </c>
      <c r="E113" s="333">
        <f t="shared" si="11"/>
        <v>0</v>
      </c>
      <c r="F113" s="332">
        <f t="shared" si="12"/>
        <v>8863.821186236893</v>
      </c>
      <c r="G113" s="332">
        <f t="shared" si="13"/>
        <v>3796.561922258301</v>
      </c>
      <c r="H113" s="332">
        <f t="shared" si="17"/>
        <v>5067.259263978593</v>
      </c>
      <c r="I113" s="332">
        <f t="shared" si="14"/>
        <v>1009655.2908734602</v>
      </c>
      <c r="J113" s="332">
        <f>SUM($H$18:$H113)</f>
        <v>560582.1247522021</v>
      </c>
    </row>
    <row r="114" spans="1:10" ht="12.75">
      <c r="A114" s="329">
        <f t="shared" si="15"/>
        <v>97</v>
      </c>
      <c r="B114" s="330">
        <f t="shared" si="9"/>
        <v>42036</v>
      </c>
      <c r="C114" s="332">
        <f t="shared" si="16"/>
        <v>1009655.2908734602</v>
      </c>
      <c r="D114" s="332">
        <f t="shared" si="10"/>
        <v>8863.821186236893</v>
      </c>
      <c r="E114" s="333">
        <f t="shared" si="11"/>
        <v>0</v>
      </c>
      <c r="F114" s="332">
        <f t="shared" si="12"/>
        <v>8863.821186236893</v>
      </c>
      <c r="G114" s="332">
        <f t="shared" si="13"/>
        <v>3815.5447318695924</v>
      </c>
      <c r="H114" s="332">
        <f t="shared" si="17"/>
        <v>5048.276454367301</v>
      </c>
      <c r="I114" s="332">
        <f t="shared" si="14"/>
        <v>1005839.7461415906</v>
      </c>
      <c r="J114" s="332">
        <f>SUM($H$18:$H114)</f>
        <v>565630.4012065694</v>
      </c>
    </row>
    <row r="115" spans="1:10" ht="12.75">
      <c r="A115" s="329">
        <f t="shared" si="15"/>
        <v>98</v>
      </c>
      <c r="B115" s="330">
        <f t="shared" si="9"/>
        <v>42064</v>
      </c>
      <c r="C115" s="332">
        <f t="shared" si="16"/>
        <v>1005839.7461415906</v>
      </c>
      <c r="D115" s="332">
        <f t="shared" si="10"/>
        <v>8863.821186236893</v>
      </c>
      <c r="E115" s="333">
        <f t="shared" si="11"/>
        <v>0</v>
      </c>
      <c r="F115" s="332">
        <f t="shared" si="12"/>
        <v>8863.821186236893</v>
      </c>
      <c r="G115" s="332">
        <f t="shared" si="13"/>
        <v>3834.62245552894</v>
      </c>
      <c r="H115" s="332">
        <f t="shared" si="17"/>
        <v>5029.1987307079535</v>
      </c>
      <c r="I115" s="332">
        <f t="shared" si="14"/>
        <v>1002005.1236860617</v>
      </c>
      <c r="J115" s="332">
        <f>SUM($H$18:$H115)</f>
        <v>570659.5999372774</v>
      </c>
    </row>
    <row r="116" spans="1:10" ht="12.75">
      <c r="A116" s="329">
        <f t="shared" si="15"/>
        <v>99</v>
      </c>
      <c r="B116" s="330">
        <f t="shared" si="9"/>
        <v>42095</v>
      </c>
      <c r="C116" s="332">
        <f t="shared" si="16"/>
        <v>1002005.1236860617</v>
      </c>
      <c r="D116" s="332">
        <f t="shared" si="10"/>
        <v>8863.821186236893</v>
      </c>
      <c r="E116" s="333">
        <f t="shared" si="11"/>
        <v>0</v>
      </c>
      <c r="F116" s="332">
        <f t="shared" si="12"/>
        <v>8863.821186236893</v>
      </c>
      <c r="G116" s="332">
        <f t="shared" si="13"/>
        <v>3853.7955678065855</v>
      </c>
      <c r="H116" s="332">
        <f t="shared" si="17"/>
        <v>5010.025618430308</v>
      </c>
      <c r="I116" s="332">
        <f t="shared" si="14"/>
        <v>998151.3281182551</v>
      </c>
      <c r="J116" s="332">
        <f>SUM($H$18:$H116)</f>
        <v>575669.6255557077</v>
      </c>
    </row>
    <row r="117" spans="1:10" ht="12.75">
      <c r="A117" s="329">
        <f t="shared" si="15"/>
        <v>100</v>
      </c>
      <c r="B117" s="330">
        <f t="shared" si="9"/>
        <v>42125</v>
      </c>
      <c r="C117" s="332">
        <f t="shared" si="16"/>
        <v>998151.3281182551</v>
      </c>
      <c r="D117" s="332">
        <f t="shared" si="10"/>
        <v>8863.821186236893</v>
      </c>
      <c r="E117" s="333">
        <f t="shared" si="11"/>
        <v>0</v>
      </c>
      <c r="F117" s="332">
        <f t="shared" si="12"/>
        <v>8863.821186236893</v>
      </c>
      <c r="G117" s="332">
        <f t="shared" si="13"/>
        <v>3873.0645456456177</v>
      </c>
      <c r="H117" s="332">
        <f t="shared" si="17"/>
        <v>4990.756640591276</v>
      </c>
      <c r="I117" s="332">
        <f t="shared" si="14"/>
        <v>994278.2635726095</v>
      </c>
      <c r="J117" s="332">
        <f>SUM($H$18:$H117)</f>
        <v>580660.382196299</v>
      </c>
    </row>
    <row r="118" spans="1:10" ht="12.75">
      <c r="A118" s="329">
        <f t="shared" si="15"/>
        <v>101</v>
      </c>
      <c r="B118" s="330">
        <f t="shared" si="9"/>
        <v>42156</v>
      </c>
      <c r="C118" s="332">
        <f t="shared" si="16"/>
        <v>994278.2635726095</v>
      </c>
      <c r="D118" s="332">
        <f t="shared" si="10"/>
        <v>8863.821186236893</v>
      </c>
      <c r="E118" s="333">
        <f t="shared" si="11"/>
        <v>0</v>
      </c>
      <c r="F118" s="332">
        <f t="shared" si="12"/>
        <v>8863.821186236893</v>
      </c>
      <c r="G118" s="332">
        <f t="shared" si="13"/>
        <v>3892.429868373846</v>
      </c>
      <c r="H118" s="332">
        <f t="shared" si="17"/>
        <v>4971.391317863047</v>
      </c>
      <c r="I118" s="332">
        <f t="shared" si="14"/>
        <v>990385.8337042356</v>
      </c>
      <c r="J118" s="332">
        <f>SUM($H$18:$H118)</f>
        <v>585631.773514162</v>
      </c>
    </row>
    <row r="119" spans="1:10" ht="12.75">
      <c r="A119" s="329">
        <f t="shared" si="15"/>
        <v>102</v>
      </c>
      <c r="B119" s="330">
        <f t="shared" si="9"/>
        <v>42186</v>
      </c>
      <c r="C119" s="332">
        <f t="shared" si="16"/>
        <v>990385.8337042356</v>
      </c>
      <c r="D119" s="332">
        <f t="shared" si="10"/>
        <v>8863.821186236893</v>
      </c>
      <c r="E119" s="333">
        <f t="shared" si="11"/>
        <v>0</v>
      </c>
      <c r="F119" s="332">
        <f t="shared" si="12"/>
        <v>8863.821186236893</v>
      </c>
      <c r="G119" s="332">
        <f t="shared" si="13"/>
        <v>3911.892017715715</v>
      </c>
      <c r="H119" s="332">
        <f t="shared" si="17"/>
        <v>4951.929168521178</v>
      </c>
      <c r="I119" s="332">
        <f t="shared" si="14"/>
        <v>986473.9416865199</v>
      </c>
      <c r="J119" s="332">
        <f>SUM($H$18:$H119)</f>
        <v>590583.7026826832</v>
      </c>
    </row>
    <row r="120" spans="1:10" ht="12.75">
      <c r="A120" s="329">
        <f t="shared" si="15"/>
        <v>103</v>
      </c>
      <c r="B120" s="330">
        <f t="shared" si="9"/>
        <v>42217</v>
      </c>
      <c r="C120" s="332">
        <f t="shared" si="16"/>
        <v>986473.9416865199</v>
      </c>
      <c r="D120" s="332">
        <f t="shared" si="10"/>
        <v>8863.821186236893</v>
      </c>
      <c r="E120" s="333">
        <f t="shared" si="11"/>
        <v>0</v>
      </c>
      <c r="F120" s="332">
        <f t="shared" si="12"/>
        <v>8863.821186236893</v>
      </c>
      <c r="G120" s="332">
        <f t="shared" si="13"/>
        <v>3931.451477804294</v>
      </c>
      <c r="H120" s="332">
        <f t="shared" si="17"/>
        <v>4932.3697084325995</v>
      </c>
      <c r="I120" s="332">
        <f t="shared" si="14"/>
        <v>982542.4902087155</v>
      </c>
      <c r="J120" s="332">
        <f>SUM($H$18:$H120)</f>
        <v>595516.0723911158</v>
      </c>
    </row>
    <row r="121" spans="1:10" ht="12.75">
      <c r="A121" s="329">
        <f t="shared" si="15"/>
        <v>104</v>
      </c>
      <c r="B121" s="330">
        <f t="shared" si="9"/>
        <v>42248</v>
      </c>
      <c r="C121" s="332">
        <f t="shared" si="16"/>
        <v>982542.4902087155</v>
      </c>
      <c r="D121" s="332">
        <f t="shared" si="10"/>
        <v>8863.821186236893</v>
      </c>
      <c r="E121" s="333">
        <f t="shared" si="11"/>
        <v>0</v>
      </c>
      <c r="F121" s="332">
        <f t="shared" si="12"/>
        <v>8863.821186236893</v>
      </c>
      <c r="G121" s="332">
        <f t="shared" si="13"/>
        <v>3951.1087351933156</v>
      </c>
      <c r="H121" s="332">
        <f t="shared" si="17"/>
        <v>4912.712451043578</v>
      </c>
      <c r="I121" s="332">
        <f t="shared" si="14"/>
        <v>978591.3814735223</v>
      </c>
      <c r="J121" s="332">
        <f>SUM($H$18:$H121)</f>
        <v>600428.7848421594</v>
      </c>
    </row>
    <row r="122" spans="1:10" ht="12.75">
      <c r="A122" s="329">
        <f t="shared" si="15"/>
        <v>105</v>
      </c>
      <c r="B122" s="330">
        <f t="shared" si="9"/>
        <v>42278</v>
      </c>
      <c r="C122" s="332">
        <f t="shared" si="16"/>
        <v>978591.3814735223</v>
      </c>
      <c r="D122" s="332">
        <f t="shared" si="10"/>
        <v>8863.821186236893</v>
      </c>
      <c r="E122" s="333">
        <f t="shared" si="11"/>
        <v>0</v>
      </c>
      <c r="F122" s="332">
        <f t="shared" si="12"/>
        <v>8863.821186236893</v>
      </c>
      <c r="G122" s="332">
        <f t="shared" si="13"/>
        <v>3970.8642788692823</v>
      </c>
      <c r="H122" s="332">
        <f t="shared" si="17"/>
        <v>4892.956907367611</v>
      </c>
      <c r="I122" s="332">
        <f t="shared" si="14"/>
        <v>974620.517194653</v>
      </c>
      <c r="J122" s="332">
        <f>SUM($H$18:$H122)</f>
        <v>605321.7417495269</v>
      </c>
    </row>
    <row r="123" spans="1:10" ht="12.75">
      <c r="A123" s="329">
        <f t="shared" si="15"/>
        <v>106</v>
      </c>
      <c r="B123" s="330">
        <f t="shared" si="9"/>
        <v>42309</v>
      </c>
      <c r="C123" s="332">
        <f t="shared" si="16"/>
        <v>974620.517194653</v>
      </c>
      <c r="D123" s="332">
        <f t="shared" si="10"/>
        <v>8863.821186236893</v>
      </c>
      <c r="E123" s="333">
        <f t="shared" si="11"/>
        <v>0</v>
      </c>
      <c r="F123" s="332">
        <f t="shared" si="12"/>
        <v>8863.821186236893</v>
      </c>
      <c r="G123" s="332">
        <f t="shared" si="13"/>
        <v>3990.718600263629</v>
      </c>
      <c r="H123" s="332">
        <f t="shared" si="17"/>
        <v>4873.1025859732645</v>
      </c>
      <c r="I123" s="332">
        <f t="shared" si="14"/>
        <v>970629.7985943895</v>
      </c>
      <c r="J123" s="332">
        <f>SUM($H$18:$H123)</f>
        <v>610194.8443355002</v>
      </c>
    </row>
    <row r="124" spans="1:10" ht="12.75">
      <c r="A124" s="329">
        <f t="shared" si="15"/>
        <v>107</v>
      </c>
      <c r="B124" s="330">
        <f t="shared" si="9"/>
        <v>42339</v>
      </c>
      <c r="C124" s="332">
        <f t="shared" si="16"/>
        <v>970629.7985943895</v>
      </c>
      <c r="D124" s="332">
        <f t="shared" si="10"/>
        <v>8863.821186236893</v>
      </c>
      <c r="E124" s="333">
        <f t="shared" si="11"/>
        <v>0</v>
      </c>
      <c r="F124" s="332">
        <f t="shared" si="12"/>
        <v>8863.821186236893</v>
      </c>
      <c r="G124" s="332">
        <f t="shared" si="13"/>
        <v>4010.672193264946</v>
      </c>
      <c r="H124" s="332">
        <f t="shared" si="17"/>
        <v>4853.148992971947</v>
      </c>
      <c r="I124" s="332">
        <f t="shared" si="14"/>
        <v>966619.1264011245</v>
      </c>
      <c r="J124" s="332">
        <f>SUM($H$18:$H124)</f>
        <v>615047.9933284721</v>
      </c>
    </row>
    <row r="125" spans="1:10" ht="12.75">
      <c r="A125" s="329">
        <f t="shared" si="15"/>
        <v>108</v>
      </c>
      <c r="B125" s="330">
        <f t="shared" si="9"/>
        <v>42370</v>
      </c>
      <c r="C125" s="332">
        <f t="shared" si="16"/>
        <v>966619.1264011245</v>
      </c>
      <c r="D125" s="332">
        <f t="shared" si="10"/>
        <v>8863.821186236893</v>
      </c>
      <c r="E125" s="333">
        <f t="shared" si="11"/>
        <v>0</v>
      </c>
      <c r="F125" s="332">
        <f t="shared" si="12"/>
        <v>8863.821186236893</v>
      </c>
      <c r="G125" s="332">
        <f t="shared" si="13"/>
        <v>4030.7255542312714</v>
      </c>
      <c r="H125" s="332">
        <f t="shared" si="17"/>
        <v>4833.095632005622</v>
      </c>
      <c r="I125" s="332">
        <f t="shared" si="14"/>
        <v>962588.4008468932</v>
      </c>
      <c r="J125" s="332">
        <f>SUM($H$18:$H125)</f>
        <v>619881.0889604777</v>
      </c>
    </row>
    <row r="126" spans="1:10" ht="12.75">
      <c r="A126" s="329">
        <f t="shared" si="15"/>
        <v>109</v>
      </c>
      <c r="B126" s="330">
        <f t="shared" si="9"/>
        <v>42401</v>
      </c>
      <c r="C126" s="332">
        <f t="shared" si="16"/>
        <v>962588.4008468932</v>
      </c>
      <c r="D126" s="332">
        <f t="shared" si="10"/>
        <v>8863.821186236893</v>
      </c>
      <c r="E126" s="333">
        <f t="shared" si="11"/>
        <v>0</v>
      </c>
      <c r="F126" s="332">
        <f t="shared" si="12"/>
        <v>8863.821186236893</v>
      </c>
      <c r="G126" s="332">
        <f t="shared" si="13"/>
        <v>4050.879182002428</v>
      </c>
      <c r="H126" s="332">
        <f t="shared" si="17"/>
        <v>4812.9420042344655</v>
      </c>
      <c r="I126" s="332">
        <f t="shared" si="14"/>
        <v>958537.5216648908</v>
      </c>
      <c r="J126" s="332">
        <f>SUM($H$18:$H126)</f>
        <v>624694.0309647121</v>
      </c>
    </row>
    <row r="127" spans="1:10" ht="12.75">
      <c r="A127" s="329">
        <f t="shared" si="15"/>
        <v>110</v>
      </c>
      <c r="B127" s="330">
        <f t="shared" si="9"/>
        <v>42430</v>
      </c>
      <c r="C127" s="332">
        <f t="shared" si="16"/>
        <v>958537.5216648908</v>
      </c>
      <c r="D127" s="332">
        <f t="shared" si="10"/>
        <v>8863.821186236893</v>
      </c>
      <c r="E127" s="333">
        <f t="shared" si="11"/>
        <v>0</v>
      </c>
      <c r="F127" s="332">
        <f t="shared" si="12"/>
        <v>8863.821186236893</v>
      </c>
      <c r="G127" s="332">
        <f t="shared" si="13"/>
        <v>4071.1335779124393</v>
      </c>
      <c r="H127" s="332">
        <f t="shared" si="17"/>
        <v>4792.687608324454</v>
      </c>
      <c r="I127" s="332">
        <f t="shared" si="14"/>
        <v>954466.3880869783</v>
      </c>
      <c r="J127" s="332">
        <f>SUM($H$18:$H127)</f>
        <v>629486.7185730366</v>
      </c>
    </row>
    <row r="128" spans="1:10" ht="12.75">
      <c r="A128" s="329">
        <f t="shared" si="15"/>
        <v>111</v>
      </c>
      <c r="B128" s="330">
        <f t="shared" si="9"/>
        <v>42461</v>
      </c>
      <c r="C128" s="332">
        <f t="shared" si="16"/>
        <v>954466.3880869783</v>
      </c>
      <c r="D128" s="332">
        <f t="shared" si="10"/>
        <v>8863.821186236893</v>
      </c>
      <c r="E128" s="333">
        <f t="shared" si="11"/>
        <v>0</v>
      </c>
      <c r="F128" s="332">
        <f t="shared" si="12"/>
        <v>8863.821186236893</v>
      </c>
      <c r="G128" s="332">
        <f t="shared" si="13"/>
        <v>4091.489245802002</v>
      </c>
      <c r="H128" s="332">
        <f t="shared" si="17"/>
        <v>4772.331940434891</v>
      </c>
      <c r="I128" s="332">
        <f t="shared" si="14"/>
        <v>950374.8988411763</v>
      </c>
      <c r="J128" s="332">
        <f>SUM($H$18:$H128)</f>
        <v>634259.0505134715</v>
      </c>
    </row>
    <row r="129" spans="1:10" ht="12.75">
      <c r="A129" s="329">
        <f t="shared" si="15"/>
        <v>112</v>
      </c>
      <c r="B129" s="330">
        <f t="shared" si="9"/>
        <v>42491</v>
      </c>
      <c r="C129" s="332">
        <f t="shared" si="16"/>
        <v>950374.8988411763</v>
      </c>
      <c r="D129" s="332">
        <f t="shared" si="10"/>
        <v>8863.821186236893</v>
      </c>
      <c r="E129" s="333">
        <f t="shared" si="11"/>
        <v>0</v>
      </c>
      <c r="F129" s="332">
        <f t="shared" si="12"/>
        <v>8863.821186236893</v>
      </c>
      <c r="G129" s="332">
        <f t="shared" si="13"/>
        <v>4111.946692031012</v>
      </c>
      <c r="H129" s="332">
        <f t="shared" si="17"/>
        <v>4751.874494205881</v>
      </c>
      <c r="I129" s="332">
        <f t="shared" si="14"/>
        <v>946262.9521491453</v>
      </c>
      <c r="J129" s="332">
        <f>SUM($H$18:$H129)</f>
        <v>639010.9250076774</v>
      </c>
    </row>
    <row r="130" spans="1:10" ht="12.75">
      <c r="A130" s="329">
        <f t="shared" si="15"/>
        <v>113</v>
      </c>
      <c r="B130" s="330">
        <f t="shared" si="9"/>
        <v>42522</v>
      </c>
      <c r="C130" s="332">
        <f t="shared" si="16"/>
        <v>946262.9521491453</v>
      </c>
      <c r="D130" s="332">
        <f t="shared" si="10"/>
        <v>8863.821186236893</v>
      </c>
      <c r="E130" s="333">
        <f t="shared" si="11"/>
        <v>0</v>
      </c>
      <c r="F130" s="332">
        <f t="shared" si="12"/>
        <v>8863.821186236893</v>
      </c>
      <c r="G130" s="332">
        <f t="shared" si="13"/>
        <v>4132.506425491168</v>
      </c>
      <c r="H130" s="332">
        <f t="shared" si="17"/>
        <v>4731.314760745726</v>
      </c>
      <c r="I130" s="332">
        <f t="shared" si="14"/>
        <v>942130.4457236541</v>
      </c>
      <c r="J130" s="332">
        <f>SUM($H$18:$H130)</f>
        <v>643742.2397684231</v>
      </c>
    </row>
    <row r="131" spans="1:10" ht="12.75">
      <c r="A131" s="329">
        <f t="shared" si="15"/>
        <v>114</v>
      </c>
      <c r="B131" s="330">
        <f t="shared" si="9"/>
        <v>42552</v>
      </c>
      <c r="C131" s="332">
        <f t="shared" si="16"/>
        <v>942130.4457236541</v>
      </c>
      <c r="D131" s="332">
        <f t="shared" si="10"/>
        <v>8863.821186236893</v>
      </c>
      <c r="E131" s="333">
        <f t="shared" si="11"/>
        <v>0</v>
      </c>
      <c r="F131" s="332">
        <f t="shared" si="12"/>
        <v>8863.821186236893</v>
      </c>
      <c r="G131" s="332">
        <f t="shared" si="13"/>
        <v>4153.168957618623</v>
      </c>
      <c r="H131" s="332">
        <f t="shared" si="17"/>
        <v>4710.652228618271</v>
      </c>
      <c r="I131" s="332">
        <f t="shared" si="14"/>
        <v>937977.2767660355</v>
      </c>
      <c r="J131" s="332">
        <f>SUM($H$18:$H131)</f>
        <v>648452.8919970414</v>
      </c>
    </row>
    <row r="132" spans="1:10" ht="12.75">
      <c r="A132" s="329">
        <f t="shared" si="15"/>
        <v>115</v>
      </c>
      <c r="B132" s="330">
        <f t="shared" si="9"/>
        <v>42583</v>
      </c>
      <c r="C132" s="332">
        <f t="shared" si="16"/>
        <v>937977.2767660355</v>
      </c>
      <c r="D132" s="332">
        <f t="shared" si="10"/>
        <v>8863.821186236893</v>
      </c>
      <c r="E132" s="333">
        <f t="shared" si="11"/>
        <v>0</v>
      </c>
      <c r="F132" s="332">
        <f t="shared" si="12"/>
        <v>8863.821186236893</v>
      </c>
      <c r="G132" s="332">
        <f t="shared" si="13"/>
        <v>4173.934802406716</v>
      </c>
      <c r="H132" s="332">
        <f t="shared" si="17"/>
        <v>4689.886383830178</v>
      </c>
      <c r="I132" s="332">
        <f t="shared" si="14"/>
        <v>933803.3419636288</v>
      </c>
      <c r="J132" s="332">
        <f>SUM($H$18:$H132)</f>
        <v>653142.7783808716</v>
      </c>
    </row>
    <row r="133" spans="1:10" ht="12.75">
      <c r="A133" s="329">
        <f t="shared" si="15"/>
        <v>116</v>
      </c>
      <c r="B133" s="330">
        <f t="shared" si="9"/>
        <v>42614</v>
      </c>
      <c r="C133" s="332">
        <f t="shared" si="16"/>
        <v>933803.3419636288</v>
      </c>
      <c r="D133" s="332">
        <f t="shared" si="10"/>
        <v>8863.821186236893</v>
      </c>
      <c r="E133" s="333">
        <f t="shared" si="11"/>
        <v>0</v>
      </c>
      <c r="F133" s="332">
        <f t="shared" si="12"/>
        <v>8863.821186236893</v>
      </c>
      <c r="G133" s="332">
        <f t="shared" si="13"/>
        <v>4194.80447641875</v>
      </c>
      <c r="H133" s="332">
        <f t="shared" si="17"/>
        <v>4669.016709818144</v>
      </c>
      <c r="I133" s="332">
        <f t="shared" si="14"/>
        <v>929608.53748721</v>
      </c>
      <c r="J133" s="332">
        <f>SUM($H$18:$H133)</f>
        <v>657811.7950906898</v>
      </c>
    </row>
    <row r="134" spans="1:10" ht="12.75">
      <c r="A134" s="329">
        <f t="shared" si="15"/>
        <v>117</v>
      </c>
      <c r="B134" s="330">
        <f t="shared" si="9"/>
        <v>42644</v>
      </c>
      <c r="C134" s="332">
        <f t="shared" si="16"/>
        <v>929608.53748721</v>
      </c>
      <c r="D134" s="332">
        <f t="shared" si="10"/>
        <v>8863.821186236893</v>
      </c>
      <c r="E134" s="333">
        <f t="shared" si="11"/>
        <v>0</v>
      </c>
      <c r="F134" s="332">
        <f t="shared" si="12"/>
        <v>8863.821186236893</v>
      </c>
      <c r="G134" s="332">
        <f t="shared" si="13"/>
        <v>4215.778498800843</v>
      </c>
      <c r="H134" s="332">
        <f t="shared" si="17"/>
        <v>4648.04268743605</v>
      </c>
      <c r="I134" s="332">
        <f t="shared" si="14"/>
        <v>925392.7589884092</v>
      </c>
      <c r="J134" s="332">
        <f>SUM($H$18:$H134)</f>
        <v>662459.8377781259</v>
      </c>
    </row>
    <row r="135" spans="1:10" ht="12.75">
      <c r="A135" s="329">
        <f t="shared" si="15"/>
        <v>118</v>
      </c>
      <c r="B135" s="330">
        <f t="shared" si="9"/>
        <v>42675</v>
      </c>
      <c r="C135" s="332">
        <f t="shared" si="16"/>
        <v>925392.7589884092</v>
      </c>
      <c r="D135" s="332">
        <f t="shared" si="10"/>
        <v>8863.821186236893</v>
      </c>
      <c r="E135" s="333">
        <f t="shared" si="11"/>
        <v>0</v>
      </c>
      <c r="F135" s="332">
        <f t="shared" si="12"/>
        <v>8863.821186236893</v>
      </c>
      <c r="G135" s="332">
        <f t="shared" si="13"/>
        <v>4236.857391294848</v>
      </c>
      <c r="H135" s="332">
        <f t="shared" si="17"/>
        <v>4626.963794942046</v>
      </c>
      <c r="I135" s="332">
        <f t="shared" si="14"/>
        <v>921155.9015971144</v>
      </c>
      <c r="J135" s="332">
        <f>SUM($H$18:$H135)</f>
        <v>667086.8015730679</v>
      </c>
    </row>
    <row r="136" spans="1:10" ht="12.75">
      <c r="A136" s="329">
        <f t="shared" si="15"/>
        <v>119</v>
      </c>
      <c r="B136" s="330">
        <f t="shared" si="9"/>
        <v>42705</v>
      </c>
      <c r="C136" s="332">
        <f t="shared" si="16"/>
        <v>921155.9015971144</v>
      </c>
      <c r="D136" s="332">
        <f t="shared" si="10"/>
        <v>8863.821186236893</v>
      </c>
      <c r="E136" s="333">
        <f t="shared" si="11"/>
        <v>0</v>
      </c>
      <c r="F136" s="332">
        <f t="shared" si="12"/>
        <v>8863.821186236893</v>
      </c>
      <c r="G136" s="332">
        <f t="shared" si="13"/>
        <v>4258.041678251321</v>
      </c>
      <c r="H136" s="332">
        <f t="shared" si="17"/>
        <v>4605.779507985572</v>
      </c>
      <c r="I136" s="332">
        <f t="shared" si="14"/>
        <v>916897.859918863</v>
      </c>
      <c r="J136" s="332">
        <f>SUM($H$18:$H136)</f>
        <v>671692.5810810535</v>
      </c>
    </row>
    <row r="137" spans="1:10" ht="12.75">
      <c r="A137" s="329">
        <f t="shared" si="15"/>
        <v>120</v>
      </c>
      <c r="B137" s="330">
        <f t="shared" si="9"/>
        <v>42736</v>
      </c>
      <c r="C137" s="332">
        <f t="shared" si="16"/>
        <v>916897.859918863</v>
      </c>
      <c r="D137" s="332">
        <f t="shared" si="10"/>
        <v>8863.821186236893</v>
      </c>
      <c r="E137" s="333">
        <f t="shared" si="11"/>
        <v>0</v>
      </c>
      <c r="F137" s="332">
        <f t="shared" si="12"/>
        <v>8863.821186236893</v>
      </c>
      <c r="G137" s="332">
        <f t="shared" si="13"/>
        <v>4279.331886642579</v>
      </c>
      <c r="H137" s="332">
        <f t="shared" si="17"/>
        <v>4584.489299594315</v>
      </c>
      <c r="I137" s="332">
        <f t="shared" si="14"/>
        <v>912618.5280322204</v>
      </c>
      <c r="J137" s="332">
        <f>SUM($H$18:$H137)</f>
        <v>676277.0703806478</v>
      </c>
    </row>
    <row r="138" spans="1:10" ht="12.75">
      <c r="A138" s="329">
        <f t="shared" si="15"/>
        <v>121</v>
      </c>
      <c r="B138" s="330">
        <f t="shared" si="9"/>
        <v>42767</v>
      </c>
      <c r="C138" s="332">
        <f t="shared" si="16"/>
        <v>912618.5280322204</v>
      </c>
      <c r="D138" s="332">
        <f t="shared" si="10"/>
        <v>8863.821186236893</v>
      </c>
      <c r="E138" s="333">
        <f t="shared" si="11"/>
        <v>0</v>
      </c>
      <c r="F138" s="332">
        <f t="shared" si="12"/>
        <v>8863.821186236893</v>
      </c>
      <c r="G138" s="332">
        <f t="shared" si="13"/>
        <v>4300.728546075791</v>
      </c>
      <c r="H138" s="332">
        <f t="shared" si="17"/>
        <v>4563.092640161102</v>
      </c>
      <c r="I138" s="332">
        <f t="shared" si="14"/>
        <v>908317.7994861447</v>
      </c>
      <c r="J138" s="332">
        <f>SUM($H$18:$H138)</f>
        <v>680840.1630208088</v>
      </c>
    </row>
    <row r="139" spans="1:10" ht="12.75">
      <c r="A139" s="329">
        <f t="shared" si="15"/>
        <v>122</v>
      </c>
      <c r="B139" s="330">
        <f t="shared" si="9"/>
        <v>42795</v>
      </c>
      <c r="C139" s="332">
        <f t="shared" si="16"/>
        <v>908317.7994861447</v>
      </c>
      <c r="D139" s="332">
        <f t="shared" si="10"/>
        <v>8863.821186236893</v>
      </c>
      <c r="E139" s="333">
        <f t="shared" si="11"/>
        <v>0</v>
      </c>
      <c r="F139" s="332">
        <f t="shared" si="12"/>
        <v>8863.821186236893</v>
      </c>
      <c r="G139" s="332">
        <f t="shared" si="13"/>
        <v>4322.23218880617</v>
      </c>
      <c r="H139" s="332">
        <f t="shared" si="17"/>
        <v>4541.588997430724</v>
      </c>
      <c r="I139" s="332">
        <f t="shared" si="14"/>
        <v>903995.5672973385</v>
      </c>
      <c r="J139" s="332">
        <f>SUM($H$18:$H139)</f>
        <v>685381.7520182396</v>
      </c>
    </row>
    <row r="140" spans="1:10" ht="12.75">
      <c r="A140" s="329">
        <f t="shared" si="15"/>
        <v>123</v>
      </c>
      <c r="B140" s="330">
        <f t="shared" si="9"/>
        <v>42826</v>
      </c>
      <c r="C140" s="332">
        <f t="shared" si="16"/>
        <v>903995.5672973385</v>
      </c>
      <c r="D140" s="332">
        <f t="shared" si="10"/>
        <v>8863.821186236893</v>
      </c>
      <c r="E140" s="333">
        <f t="shared" si="11"/>
        <v>0</v>
      </c>
      <c r="F140" s="332">
        <f t="shared" si="12"/>
        <v>8863.821186236893</v>
      </c>
      <c r="G140" s="332">
        <f t="shared" si="13"/>
        <v>4343.843349750201</v>
      </c>
      <c r="H140" s="332">
        <f t="shared" si="17"/>
        <v>4519.9778364866925</v>
      </c>
      <c r="I140" s="332">
        <f t="shared" si="14"/>
        <v>899651.7239475884</v>
      </c>
      <c r="J140" s="332">
        <f>SUM($H$18:$H140)</f>
        <v>689901.7298547262</v>
      </c>
    </row>
    <row r="141" spans="1:10" ht="12.75">
      <c r="A141" s="329">
        <f t="shared" si="15"/>
        <v>124</v>
      </c>
      <c r="B141" s="330">
        <f t="shared" si="9"/>
        <v>42856</v>
      </c>
      <c r="C141" s="332">
        <f t="shared" si="16"/>
        <v>899651.7239475884</v>
      </c>
      <c r="D141" s="332">
        <f t="shared" si="10"/>
        <v>8863.821186236893</v>
      </c>
      <c r="E141" s="333">
        <f t="shared" si="11"/>
        <v>0</v>
      </c>
      <c r="F141" s="332">
        <f t="shared" si="12"/>
        <v>8863.821186236893</v>
      </c>
      <c r="G141" s="332">
        <f t="shared" si="13"/>
        <v>4365.562566498952</v>
      </c>
      <c r="H141" s="332">
        <f t="shared" si="17"/>
        <v>4498.258619737941</v>
      </c>
      <c r="I141" s="332">
        <f t="shared" si="14"/>
        <v>895286.1613810894</v>
      </c>
      <c r="J141" s="332">
        <f>SUM($H$18:$H141)</f>
        <v>694399.9884744642</v>
      </c>
    </row>
    <row r="142" spans="1:10" ht="12.75">
      <c r="A142" s="329">
        <f t="shared" si="15"/>
        <v>125</v>
      </c>
      <c r="B142" s="330">
        <f t="shared" si="9"/>
        <v>42887</v>
      </c>
      <c r="C142" s="332">
        <f t="shared" si="16"/>
        <v>895286.1613810894</v>
      </c>
      <c r="D142" s="332">
        <f t="shared" si="10"/>
        <v>8863.821186236893</v>
      </c>
      <c r="E142" s="333">
        <f t="shared" si="11"/>
        <v>0</v>
      </c>
      <c r="F142" s="332">
        <f t="shared" si="12"/>
        <v>8863.821186236893</v>
      </c>
      <c r="G142" s="332">
        <f t="shared" si="13"/>
        <v>4387.390379331447</v>
      </c>
      <c r="H142" s="332">
        <f t="shared" si="17"/>
        <v>4476.430806905447</v>
      </c>
      <c r="I142" s="332">
        <f t="shared" si="14"/>
        <v>890898.7710017579</v>
      </c>
      <c r="J142" s="332">
        <f>SUM($H$18:$H142)</f>
        <v>698876.4192813697</v>
      </c>
    </row>
    <row r="143" spans="1:10" ht="12.75">
      <c r="A143" s="329">
        <f t="shared" si="15"/>
        <v>126</v>
      </c>
      <c r="B143" s="330">
        <f t="shared" si="9"/>
        <v>42917</v>
      </c>
      <c r="C143" s="332">
        <f t="shared" si="16"/>
        <v>890898.7710017579</v>
      </c>
      <c r="D143" s="332">
        <f t="shared" si="10"/>
        <v>8863.821186236893</v>
      </c>
      <c r="E143" s="333">
        <f t="shared" si="11"/>
        <v>0</v>
      </c>
      <c r="F143" s="332">
        <f t="shared" si="12"/>
        <v>8863.821186236893</v>
      </c>
      <c r="G143" s="332">
        <f t="shared" si="13"/>
        <v>4409.327331228104</v>
      </c>
      <c r="H143" s="332">
        <f t="shared" si="17"/>
        <v>4454.493855008789</v>
      </c>
      <c r="I143" s="332">
        <f t="shared" si="14"/>
        <v>886489.4436705299</v>
      </c>
      <c r="J143" s="332">
        <f>SUM($H$18:$H143)</f>
        <v>703330.9131363784</v>
      </c>
    </row>
    <row r="144" spans="1:10" ht="12.75">
      <c r="A144" s="329">
        <f t="shared" si="15"/>
        <v>127</v>
      </c>
      <c r="B144" s="330">
        <f t="shared" si="9"/>
        <v>42948</v>
      </c>
      <c r="C144" s="332">
        <f t="shared" si="16"/>
        <v>886489.4436705299</v>
      </c>
      <c r="D144" s="332">
        <f t="shared" si="10"/>
        <v>8863.821186236893</v>
      </c>
      <c r="E144" s="333">
        <f t="shared" si="11"/>
        <v>0</v>
      </c>
      <c r="F144" s="332">
        <f t="shared" si="12"/>
        <v>8863.821186236893</v>
      </c>
      <c r="G144" s="332">
        <f t="shared" si="13"/>
        <v>4431.373967884244</v>
      </c>
      <c r="H144" s="332">
        <f t="shared" si="17"/>
        <v>4432.4472183526495</v>
      </c>
      <c r="I144" s="332">
        <f t="shared" si="14"/>
        <v>882058.0697026456</v>
      </c>
      <c r="J144" s="332">
        <f>SUM($H$18:$H144)</f>
        <v>707763.3603547311</v>
      </c>
    </row>
    <row r="145" spans="1:10" ht="12.75">
      <c r="A145" s="329">
        <f t="shared" si="15"/>
        <v>128</v>
      </c>
      <c r="B145" s="330">
        <f t="shared" si="9"/>
        <v>42979</v>
      </c>
      <c r="C145" s="332">
        <f t="shared" si="16"/>
        <v>882058.0697026456</v>
      </c>
      <c r="D145" s="332">
        <f t="shared" si="10"/>
        <v>8863.821186236893</v>
      </c>
      <c r="E145" s="333">
        <f t="shared" si="11"/>
        <v>0</v>
      </c>
      <c r="F145" s="332">
        <f t="shared" si="12"/>
        <v>8863.821186236893</v>
      </c>
      <c r="G145" s="332">
        <f t="shared" si="13"/>
        <v>4453.530837723665</v>
      </c>
      <c r="H145" s="332">
        <f t="shared" si="17"/>
        <v>4410.290348513228</v>
      </c>
      <c r="I145" s="332">
        <f t="shared" si="14"/>
        <v>877604.538864922</v>
      </c>
      <c r="J145" s="332">
        <f>SUM($H$18:$H145)</f>
        <v>712173.6507032444</v>
      </c>
    </row>
    <row r="146" spans="1:10" ht="12.75">
      <c r="A146" s="329">
        <f t="shared" si="15"/>
        <v>129</v>
      </c>
      <c r="B146" s="330">
        <f aca="true" t="shared" si="18" ref="B146:B209">IF(Pay_Num_3&lt;&gt;"",DATE(YEAR(Loan_Start_3),MONTH(Loan_Start_3)+(Pay_Num_3)*12/Num_Pmt_Per_Year_3,DAY(Loan_Start_3)),"")</f>
        <v>43009</v>
      </c>
      <c r="C146" s="332">
        <f t="shared" si="16"/>
        <v>877604.538864922</v>
      </c>
      <c r="D146" s="332">
        <f aca="true" t="shared" si="19" ref="D146:D209">IF(Pay_Num_3&lt;&gt;"",Scheduled_Monthly_Payment_3,"")</f>
        <v>8863.821186236893</v>
      </c>
      <c r="E146" s="333">
        <f aca="true" t="shared" si="20" ref="E146:E209">IF(AND(Pay_Num_3&lt;&gt;"",Sched_Pay_3+Scheduled_Extra_Payments_3&lt;Beg_Bal_3),Scheduled_Extra_Payments_3,IF(AND(Pay_Num_3&lt;&gt;"",Beg_Bal_3-Sched_Pay_3&gt;0),Beg_Bal_3-Sched_Pay_3,IF(Pay_Num_3&lt;&gt;"",0,"")))</f>
        <v>0</v>
      </c>
      <c r="F146" s="332">
        <f aca="true" t="shared" si="21" ref="F146:F209">IF(AND(Pay_Num_3&lt;&gt;"",Sched_Pay_3+Extra_Pay_3&lt;Beg_Bal_3),Sched_Pay_3+Extra_Pay_3,IF(Pay_Num_3&lt;&gt;"",Beg_Bal_3,""))</f>
        <v>8863.821186236893</v>
      </c>
      <c r="G146" s="332">
        <f aca="true" t="shared" si="22" ref="G146:G209">IF(Pay_Num_3&lt;&gt;"",Total_Pay_3-Int_3,"")</f>
        <v>4475.798491912284</v>
      </c>
      <c r="H146" s="332">
        <f t="shared" si="17"/>
        <v>4388.02269432461</v>
      </c>
      <c r="I146" s="332">
        <f aca="true" t="shared" si="23" ref="I146:I209">IF(AND(Pay_Num_3&lt;&gt;"",Sched_Pay_3+Extra_Pay_3&lt;Beg_Bal_3),Beg_Bal_3-Princ_3,IF(Pay_Num_3&lt;&gt;"",0,""))</f>
        <v>873128.7403730097</v>
      </c>
      <c r="J146" s="332">
        <f>SUM($H$18:$H146)</f>
        <v>716561.673397569</v>
      </c>
    </row>
    <row r="147" spans="1:10" ht="12.75">
      <c r="A147" s="329">
        <f aca="true" t="shared" si="24" ref="A147:A210">IF(Values_Entered_3,A146+1,"")</f>
        <v>130</v>
      </c>
      <c r="B147" s="330">
        <f t="shared" si="18"/>
        <v>43040</v>
      </c>
      <c r="C147" s="332">
        <f aca="true" t="shared" si="25" ref="C147:C210">IF(Pay_Num_3&lt;&gt;"",I146,"")</f>
        <v>873128.7403730097</v>
      </c>
      <c r="D147" s="332">
        <f t="shared" si="19"/>
        <v>8863.821186236893</v>
      </c>
      <c r="E147" s="333">
        <f t="shared" si="20"/>
        <v>0</v>
      </c>
      <c r="F147" s="332">
        <f t="shared" si="21"/>
        <v>8863.821186236893</v>
      </c>
      <c r="G147" s="332">
        <f t="shared" si="22"/>
        <v>4498.177484371845</v>
      </c>
      <c r="H147" s="332">
        <f aca="true" t="shared" si="26" ref="H147:H210">IF(Pay_Num_3&lt;&gt;"",Beg_Bal_3*Interest_Rate_3/Num_Pmt_Per_Year_3,"")</f>
        <v>4365.643701865049</v>
      </c>
      <c r="I147" s="332">
        <f t="shared" si="23"/>
        <v>868630.5628886379</v>
      </c>
      <c r="J147" s="332">
        <f>SUM($H$18:$H147)</f>
        <v>720927.3170994341</v>
      </c>
    </row>
    <row r="148" spans="1:10" ht="12.75">
      <c r="A148" s="329">
        <f t="shared" si="24"/>
        <v>131</v>
      </c>
      <c r="B148" s="330">
        <f t="shared" si="18"/>
        <v>43070</v>
      </c>
      <c r="C148" s="332">
        <f t="shared" si="25"/>
        <v>868630.5628886379</v>
      </c>
      <c r="D148" s="332">
        <f t="shared" si="19"/>
        <v>8863.821186236893</v>
      </c>
      <c r="E148" s="333">
        <f t="shared" si="20"/>
        <v>0</v>
      </c>
      <c r="F148" s="332">
        <f t="shared" si="21"/>
        <v>8863.821186236893</v>
      </c>
      <c r="G148" s="332">
        <f t="shared" si="22"/>
        <v>4520.668371793704</v>
      </c>
      <c r="H148" s="332">
        <f t="shared" si="26"/>
        <v>4343.1528144431895</v>
      </c>
      <c r="I148" s="332">
        <f t="shared" si="23"/>
        <v>864109.8945168442</v>
      </c>
      <c r="J148" s="332">
        <f>SUM($H$18:$H148)</f>
        <v>725270.4699138773</v>
      </c>
    </row>
    <row r="149" spans="1:10" ht="12.75">
      <c r="A149" s="329">
        <f t="shared" si="24"/>
        <v>132</v>
      </c>
      <c r="B149" s="330">
        <f t="shared" si="18"/>
        <v>43101</v>
      </c>
      <c r="C149" s="332">
        <f t="shared" si="25"/>
        <v>864109.8945168442</v>
      </c>
      <c r="D149" s="332">
        <f t="shared" si="19"/>
        <v>8863.821186236893</v>
      </c>
      <c r="E149" s="333">
        <f t="shared" si="20"/>
        <v>0</v>
      </c>
      <c r="F149" s="332">
        <f t="shared" si="21"/>
        <v>8863.821186236893</v>
      </c>
      <c r="G149" s="332">
        <f t="shared" si="22"/>
        <v>4543.271713652673</v>
      </c>
      <c r="H149" s="332">
        <f t="shared" si="26"/>
        <v>4320.549472584221</v>
      </c>
      <c r="I149" s="332">
        <f t="shared" si="23"/>
        <v>859566.6228031915</v>
      </c>
      <c r="J149" s="332">
        <f>SUM($H$18:$H149)</f>
        <v>729591.0193864616</v>
      </c>
    </row>
    <row r="150" spans="1:10" ht="12.75">
      <c r="A150" s="329">
        <f t="shared" si="24"/>
        <v>133</v>
      </c>
      <c r="B150" s="330">
        <f t="shared" si="18"/>
        <v>43132</v>
      </c>
      <c r="C150" s="332">
        <f t="shared" si="25"/>
        <v>859566.6228031915</v>
      </c>
      <c r="D150" s="332">
        <f t="shared" si="19"/>
        <v>8863.821186236893</v>
      </c>
      <c r="E150" s="333">
        <f t="shared" si="20"/>
        <v>0</v>
      </c>
      <c r="F150" s="332">
        <f t="shared" si="21"/>
        <v>8863.821186236893</v>
      </c>
      <c r="G150" s="332">
        <f t="shared" si="22"/>
        <v>4565.9880722209355</v>
      </c>
      <c r="H150" s="332">
        <f t="shared" si="26"/>
        <v>4297.833114015958</v>
      </c>
      <c r="I150" s="332">
        <f t="shared" si="23"/>
        <v>855000.6347309706</v>
      </c>
      <c r="J150" s="332">
        <f>SUM($H$18:$H150)</f>
        <v>733888.8525004776</v>
      </c>
    </row>
    <row r="151" spans="1:10" ht="12.75">
      <c r="A151" s="329">
        <f t="shared" si="24"/>
        <v>134</v>
      </c>
      <c r="B151" s="330">
        <f t="shared" si="18"/>
        <v>43160</v>
      </c>
      <c r="C151" s="332">
        <f t="shared" si="25"/>
        <v>855000.6347309706</v>
      </c>
      <c r="D151" s="332">
        <f t="shared" si="19"/>
        <v>8863.821186236893</v>
      </c>
      <c r="E151" s="333">
        <f t="shared" si="20"/>
        <v>0</v>
      </c>
      <c r="F151" s="332">
        <f t="shared" si="21"/>
        <v>8863.821186236893</v>
      </c>
      <c r="G151" s="332">
        <f t="shared" si="22"/>
        <v>4588.818012582041</v>
      </c>
      <c r="H151" s="332">
        <f t="shared" si="26"/>
        <v>4275.003173654853</v>
      </c>
      <c r="I151" s="332">
        <f t="shared" si="23"/>
        <v>850411.8167183886</v>
      </c>
      <c r="J151" s="332">
        <f>SUM($H$18:$H151)</f>
        <v>738163.8556741325</v>
      </c>
    </row>
    <row r="152" spans="1:10" ht="12.75">
      <c r="A152" s="329">
        <f t="shared" si="24"/>
        <v>135</v>
      </c>
      <c r="B152" s="330">
        <f t="shared" si="18"/>
        <v>43191</v>
      </c>
      <c r="C152" s="332">
        <f t="shared" si="25"/>
        <v>850411.8167183886</v>
      </c>
      <c r="D152" s="332">
        <f t="shared" si="19"/>
        <v>8863.821186236893</v>
      </c>
      <c r="E152" s="333">
        <f t="shared" si="20"/>
        <v>0</v>
      </c>
      <c r="F152" s="332">
        <f t="shared" si="21"/>
        <v>8863.821186236893</v>
      </c>
      <c r="G152" s="332">
        <f t="shared" si="22"/>
        <v>4611.762102644951</v>
      </c>
      <c r="H152" s="332">
        <f t="shared" si="26"/>
        <v>4252.059083591943</v>
      </c>
      <c r="I152" s="332">
        <f t="shared" si="23"/>
        <v>845800.0546157436</v>
      </c>
      <c r="J152" s="332">
        <f>SUM($H$18:$H152)</f>
        <v>742415.9147577244</v>
      </c>
    </row>
    <row r="153" spans="1:10" ht="12.75">
      <c r="A153" s="329">
        <f t="shared" si="24"/>
        <v>136</v>
      </c>
      <c r="B153" s="330">
        <f t="shared" si="18"/>
        <v>43221</v>
      </c>
      <c r="C153" s="332">
        <f t="shared" si="25"/>
        <v>845800.0546157436</v>
      </c>
      <c r="D153" s="332">
        <f t="shared" si="19"/>
        <v>8863.821186236893</v>
      </c>
      <c r="E153" s="333">
        <f t="shared" si="20"/>
        <v>0</v>
      </c>
      <c r="F153" s="332">
        <f t="shared" si="21"/>
        <v>8863.821186236893</v>
      </c>
      <c r="G153" s="332">
        <f t="shared" si="22"/>
        <v>4634.820913158176</v>
      </c>
      <c r="H153" s="332">
        <f t="shared" si="26"/>
        <v>4229.000273078717</v>
      </c>
      <c r="I153" s="332">
        <f t="shared" si="23"/>
        <v>841165.2337025855</v>
      </c>
      <c r="J153" s="332">
        <f>SUM($H$18:$H153)</f>
        <v>746644.9150308031</v>
      </c>
    </row>
    <row r="154" spans="1:10" ht="12.75">
      <c r="A154" s="329">
        <f t="shared" si="24"/>
        <v>137</v>
      </c>
      <c r="B154" s="330">
        <f t="shared" si="18"/>
        <v>43252</v>
      </c>
      <c r="C154" s="332">
        <f t="shared" si="25"/>
        <v>841165.2337025855</v>
      </c>
      <c r="D154" s="332">
        <f t="shared" si="19"/>
        <v>8863.821186236893</v>
      </c>
      <c r="E154" s="333">
        <f t="shared" si="20"/>
        <v>0</v>
      </c>
      <c r="F154" s="332">
        <f t="shared" si="21"/>
        <v>8863.821186236893</v>
      </c>
      <c r="G154" s="332">
        <f t="shared" si="22"/>
        <v>4657.995017723966</v>
      </c>
      <c r="H154" s="332">
        <f t="shared" si="26"/>
        <v>4205.826168512927</v>
      </c>
      <c r="I154" s="332">
        <f t="shared" si="23"/>
        <v>836507.2386848615</v>
      </c>
      <c r="J154" s="332">
        <f>SUM($H$18:$H154)</f>
        <v>750850.741199316</v>
      </c>
    </row>
    <row r="155" spans="1:10" ht="12.75">
      <c r="A155" s="329">
        <f t="shared" si="24"/>
        <v>138</v>
      </c>
      <c r="B155" s="330">
        <f t="shared" si="18"/>
        <v>43282</v>
      </c>
      <c r="C155" s="332">
        <f t="shared" si="25"/>
        <v>836507.2386848615</v>
      </c>
      <c r="D155" s="332">
        <f t="shared" si="19"/>
        <v>8863.821186236893</v>
      </c>
      <c r="E155" s="333">
        <f t="shared" si="20"/>
        <v>0</v>
      </c>
      <c r="F155" s="332">
        <f t="shared" si="21"/>
        <v>8863.821186236893</v>
      </c>
      <c r="G155" s="332">
        <f t="shared" si="22"/>
        <v>4681.284992812586</v>
      </c>
      <c r="H155" s="332">
        <f t="shared" si="26"/>
        <v>4182.536193424307</v>
      </c>
      <c r="I155" s="332">
        <f t="shared" si="23"/>
        <v>831825.9536920489</v>
      </c>
      <c r="J155" s="332">
        <f>SUM($H$18:$H155)</f>
        <v>755033.2773927402</v>
      </c>
    </row>
    <row r="156" spans="1:10" ht="12.75">
      <c r="A156" s="329">
        <f t="shared" si="24"/>
        <v>139</v>
      </c>
      <c r="B156" s="330">
        <f t="shared" si="18"/>
        <v>43313</v>
      </c>
      <c r="C156" s="332">
        <f t="shared" si="25"/>
        <v>831825.9536920489</v>
      </c>
      <c r="D156" s="332">
        <f t="shared" si="19"/>
        <v>8863.821186236893</v>
      </c>
      <c r="E156" s="333">
        <f t="shared" si="20"/>
        <v>0</v>
      </c>
      <c r="F156" s="332">
        <f t="shared" si="21"/>
        <v>8863.821186236893</v>
      </c>
      <c r="G156" s="332">
        <f t="shared" si="22"/>
        <v>4704.691417776649</v>
      </c>
      <c r="H156" s="332">
        <f t="shared" si="26"/>
        <v>4159.129768460244</v>
      </c>
      <c r="I156" s="332">
        <f t="shared" si="23"/>
        <v>827121.2622742723</v>
      </c>
      <c r="J156" s="332">
        <f>SUM($H$18:$H156)</f>
        <v>759192.4071612005</v>
      </c>
    </row>
    <row r="157" spans="1:10" ht="12.75">
      <c r="A157" s="329">
        <f t="shared" si="24"/>
        <v>140</v>
      </c>
      <c r="B157" s="330">
        <f t="shared" si="18"/>
        <v>43344</v>
      </c>
      <c r="C157" s="332">
        <f t="shared" si="25"/>
        <v>827121.2622742723</v>
      </c>
      <c r="D157" s="332">
        <f t="shared" si="19"/>
        <v>8863.821186236893</v>
      </c>
      <c r="E157" s="333">
        <f t="shared" si="20"/>
        <v>0</v>
      </c>
      <c r="F157" s="332">
        <f t="shared" si="21"/>
        <v>8863.821186236893</v>
      </c>
      <c r="G157" s="332">
        <f t="shared" si="22"/>
        <v>4728.214874865532</v>
      </c>
      <c r="H157" s="332">
        <f t="shared" si="26"/>
        <v>4135.606311371362</v>
      </c>
      <c r="I157" s="332">
        <f t="shared" si="23"/>
        <v>822393.0473994068</v>
      </c>
      <c r="J157" s="332">
        <f>SUM($H$18:$H157)</f>
        <v>763328.0134725719</v>
      </c>
    </row>
    <row r="158" spans="1:10" ht="12.75">
      <c r="A158" s="329">
        <f t="shared" si="24"/>
        <v>141</v>
      </c>
      <c r="B158" s="330">
        <f t="shared" si="18"/>
        <v>43374</v>
      </c>
      <c r="C158" s="332">
        <f t="shared" si="25"/>
        <v>822393.0473994068</v>
      </c>
      <c r="D158" s="332">
        <f t="shared" si="19"/>
        <v>8863.821186236893</v>
      </c>
      <c r="E158" s="333">
        <f t="shared" si="20"/>
        <v>0</v>
      </c>
      <c r="F158" s="332">
        <f t="shared" si="21"/>
        <v>8863.821186236893</v>
      </c>
      <c r="G158" s="332">
        <f t="shared" si="22"/>
        <v>4751.85594923986</v>
      </c>
      <c r="H158" s="332">
        <f t="shared" si="26"/>
        <v>4111.965236997034</v>
      </c>
      <c r="I158" s="332">
        <f t="shared" si="23"/>
        <v>817641.191450167</v>
      </c>
      <c r="J158" s="332">
        <f>SUM($H$18:$H158)</f>
        <v>767439.9787095689</v>
      </c>
    </row>
    <row r="159" spans="1:10" ht="12.75">
      <c r="A159" s="329">
        <f t="shared" si="24"/>
        <v>142</v>
      </c>
      <c r="B159" s="330">
        <f t="shared" si="18"/>
        <v>43405</v>
      </c>
      <c r="C159" s="332">
        <f t="shared" si="25"/>
        <v>817641.191450167</v>
      </c>
      <c r="D159" s="332">
        <f t="shared" si="19"/>
        <v>8863.821186236893</v>
      </c>
      <c r="E159" s="333">
        <f t="shared" si="20"/>
        <v>0</v>
      </c>
      <c r="F159" s="332">
        <f t="shared" si="21"/>
        <v>8863.821186236893</v>
      </c>
      <c r="G159" s="332">
        <f t="shared" si="22"/>
        <v>4775.615228986058</v>
      </c>
      <c r="H159" s="332">
        <f t="shared" si="26"/>
        <v>4088.2059572508347</v>
      </c>
      <c r="I159" s="332">
        <f t="shared" si="23"/>
        <v>812865.576221181</v>
      </c>
      <c r="J159" s="332">
        <f>SUM($H$18:$H159)</f>
        <v>771528.1846668196</v>
      </c>
    </row>
    <row r="160" spans="1:10" ht="12.75">
      <c r="A160" s="329">
        <f t="shared" si="24"/>
        <v>143</v>
      </c>
      <c r="B160" s="330">
        <f t="shared" si="18"/>
        <v>43435</v>
      </c>
      <c r="C160" s="332">
        <f t="shared" si="25"/>
        <v>812865.576221181</v>
      </c>
      <c r="D160" s="332">
        <f t="shared" si="19"/>
        <v>8863.821186236893</v>
      </c>
      <c r="E160" s="333">
        <f t="shared" si="20"/>
        <v>0</v>
      </c>
      <c r="F160" s="332">
        <f t="shared" si="21"/>
        <v>8863.821186236893</v>
      </c>
      <c r="G160" s="332">
        <f t="shared" si="22"/>
        <v>4799.493305130989</v>
      </c>
      <c r="H160" s="332">
        <f t="shared" si="26"/>
        <v>4064.3278811059045</v>
      </c>
      <c r="I160" s="332">
        <f t="shared" si="23"/>
        <v>808066.08291605</v>
      </c>
      <c r="J160" s="332">
        <f>SUM($H$18:$H160)</f>
        <v>775592.5125479256</v>
      </c>
    </row>
    <row r="161" spans="1:10" ht="12.75">
      <c r="A161" s="329">
        <f t="shared" si="24"/>
        <v>144</v>
      </c>
      <c r="B161" s="330">
        <f t="shared" si="18"/>
        <v>43466</v>
      </c>
      <c r="C161" s="332">
        <f t="shared" si="25"/>
        <v>808066.08291605</v>
      </c>
      <c r="D161" s="332">
        <f t="shared" si="19"/>
        <v>8863.821186236893</v>
      </c>
      <c r="E161" s="333">
        <f t="shared" si="20"/>
        <v>0</v>
      </c>
      <c r="F161" s="332">
        <f t="shared" si="21"/>
        <v>8863.821186236893</v>
      </c>
      <c r="G161" s="332">
        <f t="shared" si="22"/>
        <v>4823.490771656643</v>
      </c>
      <c r="H161" s="332">
        <f t="shared" si="26"/>
        <v>4040.33041458025</v>
      </c>
      <c r="I161" s="332">
        <f t="shared" si="23"/>
        <v>803242.5921443934</v>
      </c>
      <c r="J161" s="332">
        <f>SUM($H$18:$H161)</f>
        <v>779632.8429625059</v>
      </c>
    </row>
    <row r="162" spans="1:10" ht="12.75">
      <c r="A162" s="329">
        <f t="shared" si="24"/>
        <v>145</v>
      </c>
      <c r="B162" s="330">
        <f t="shared" si="18"/>
        <v>43497</v>
      </c>
      <c r="C162" s="332">
        <f t="shared" si="25"/>
        <v>803242.5921443934</v>
      </c>
      <c r="D162" s="332">
        <f t="shared" si="19"/>
        <v>8863.821186236893</v>
      </c>
      <c r="E162" s="333">
        <f t="shared" si="20"/>
        <v>0</v>
      </c>
      <c r="F162" s="332">
        <f t="shared" si="21"/>
        <v>8863.821186236893</v>
      </c>
      <c r="G162" s="332">
        <f t="shared" si="22"/>
        <v>4847.608225514927</v>
      </c>
      <c r="H162" s="332">
        <f t="shared" si="26"/>
        <v>4016.2129607219667</v>
      </c>
      <c r="I162" s="332">
        <f t="shared" si="23"/>
        <v>798394.9839188785</v>
      </c>
      <c r="J162" s="332">
        <f>SUM($H$18:$H162)</f>
        <v>783649.0559232278</v>
      </c>
    </row>
    <row r="163" spans="1:10" ht="12.75">
      <c r="A163" s="329">
        <f t="shared" si="24"/>
        <v>146</v>
      </c>
      <c r="B163" s="330">
        <f t="shared" si="18"/>
        <v>43525</v>
      </c>
      <c r="C163" s="332">
        <f t="shared" si="25"/>
        <v>798394.9839188785</v>
      </c>
      <c r="D163" s="332">
        <f t="shared" si="19"/>
        <v>8863.821186236893</v>
      </c>
      <c r="E163" s="333">
        <f t="shared" si="20"/>
        <v>0</v>
      </c>
      <c r="F163" s="332">
        <f t="shared" si="21"/>
        <v>8863.821186236893</v>
      </c>
      <c r="G163" s="332">
        <f t="shared" si="22"/>
        <v>4871.846266642502</v>
      </c>
      <c r="H163" s="332">
        <f t="shared" si="26"/>
        <v>3991.974919594392</v>
      </c>
      <c r="I163" s="332">
        <f t="shared" si="23"/>
        <v>793523.137652236</v>
      </c>
      <c r="J163" s="332">
        <f>SUM($H$18:$H163)</f>
        <v>787641.0308428222</v>
      </c>
    </row>
    <row r="164" spans="1:10" ht="12.75">
      <c r="A164" s="329">
        <f t="shared" si="24"/>
        <v>147</v>
      </c>
      <c r="B164" s="330">
        <f t="shared" si="18"/>
        <v>43556</v>
      </c>
      <c r="C164" s="332">
        <f t="shared" si="25"/>
        <v>793523.137652236</v>
      </c>
      <c r="D164" s="332">
        <f t="shared" si="19"/>
        <v>8863.821186236893</v>
      </c>
      <c r="E164" s="333">
        <f t="shared" si="20"/>
        <v>0</v>
      </c>
      <c r="F164" s="332">
        <f t="shared" si="21"/>
        <v>8863.821186236893</v>
      </c>
      <c r="G164" s="332">
        <f t="shared" si="22"/>
        <v>4896.205497975714</v>
      </c>
      <c r="H164" s="332">
        <f t="shared" si="26"/>
        <v>3967.61568826118</v>
      </c>
      <c r="I164" s="332">
        <f t="shared" si="23"/>
        <v>788626.9321542603</v>
      </c>
      <c r="J164" s="332">
        <f>SUM($H$18:$H164)</f>
        <v>791608.6465310834</v>
      </c>
    </row>
    <row r="165" spans="1:10" ht="12.75">
      <c r="A165" s="329">
        <f t="shared" si="24"/>
        <v>148</v>
      </c>
      <c r="B165" s="330">
        <f t="shared" si="18"/>
        <v>43586</v>
      </c>
      <c r="C165" s="332">
        <f t="shared" si="25"/>
        <v>788626.9321542603</v>
      </c>
      <c r="D165" s="332">
        <f t="shared" si="19"/>
        <v>8863.821186236893</v>
      </c>
      <c r="E165" s="333">
        <f t="shared" si="20"/>
        <v>0</v>
      </c>
      <c r="F165" s="332">
        <f t="shared" si="21"/>
        <v>8863.821186236893</v>
      </c>
      <c r="G165" s="332">
        <f t="shared" si="22"/>
        <v>4920.686525465591</v>
      </c>
      <c r="H165" s="332">
        <f t="shared" si="26"/>
        <v>3943.1346607713017</v>
      </c>
      <c r="I165" s="332">
        <f t="shared" si="23"/>
        <v>783706.2456287948</v>
      </c>
      <c r="J165" s="332">
        <f>SUM($H$18:$H165)</f>
        <v>795551.7811918547</v>
      </c>
    </row>
    <row r="166" spans="1:10" ht="12.75">
      <c r="A166" s="329">
        <f t="shared" si="24"/>
        <v>149</v>
      </c>
      <c r="B166" s="330">
        <f t="shared" si="18"/>
        <v>43617</v>
      </c>
      <c r="C166" s="332">
        <f t="shared" si="25"/>
        <v>783706.2456287948</v>
      </c>
      <c r="D166" s="332">
        <f t="shared" si="19"/>
        <v>8863.821186236893</v>
      </c>
      <c r="E166" s="333">
        <f t="shared" si="20"/>
        <v>0</v>
      </c>
      <c r="F166" s="332">
        <f t="shared" si="21"/>
        <v>8863.821186236893</v>
      </c>
      <c r="G166" s="332">
        <f t="shared" si="22"/>
        <v>4945.289958092921</v>
      </c>
      <c r="H166" s="332">
        <f t="shared" si="26"/>
        <v>3918.5312281439733</v>
      </c>
      <c r="I166" s="332">
        <f t="shared" si="23"/>
        <v>778760.9556707018</v>
      </c>
      <c r="J166" s="332">
        <f>SUM($H$18:$H166)</f>
        <v>799470.3124199987</v>
      </c>
    </row>
    <row r="167" spans="1:10" ht="12.75">
      <c r="A167" s="329">
        <f t="shared" si="24"/>
        <v>150</v>
      </c>
      <c r="B167" s="330">
        <f t="shared" si="18"/>
        <v>43647</v>
      </c>
      <c r="C167" s="332">
        <f t="shared" si="25"/>
        <v>778760.9556707018</v>
      </c>
      <c r="D167" s="332">
        <f t="shared" si="19"/>
        <v>8863.821186236893</v>
      </c>
      <c r="E167" s="333">
        <f t="shared" si="20"/>
        <v>0</v>
      </c>
      <c r="F167" s="332">
        <f t="shared" si="21"/>
        <v>8863.821186236893</v>
      </c>
      <c r="G167" s="332">
        <f t="shared" si="22"/>
        <v>4970.016407883384</v>
      </c>
      <c r="H167" s="332">
        <f t="shared" si="26"/>
        <v>3893.804778353509</v>
      </c>
      <c r="I167" s="332">
        <f t="shared" si="23"/>
        <v>773790.9392628184</v>
      </c>
      <c r="J167" s="332">
        <f>SUM($H$18:$H167)</f>
        <v>803364.1171983522</v>
      </c>
    </row>
    <row r="168" spans="1:10" ht="12.75">
      <c r="A168" s="329">
        <f t="shared" si="24"/>
        <v>151</v>
      </c>
      <c r="B168" s="330">
        <f t="shared" si="18"/>
        <v>43678</v>
      </c>
      <c r="C168" s="332">
        <f t="shared" si="25"/>
        <v>773790.9392628184</v>
      </c>
      <c r="D168" s="332">
        <f t="shared" si="19"/>
        <v>8863.821186236893</v>
      </c>
      <c r="E168" s="333">
        <f t="shared" si="20"/>
        <v>0</v>
      </c>
      <c r="F168" s="332">
        <f t="shared" si="21"/>
        <v>8863.821186236893</v>
      </c>
      <c r="G168" s="332">
        <f t="shared" si="22"/>
        <v>4994.866489922801</v>
      </c>
      <c r="H168" s="332">
        <f t="shared" si="26"/>
        <v>3868.9546963140924</v>
      </c>
      <c r="I168" s="332">
        <f t="shared" si="23"/>
        <v>768796.0727728957</v>
      </c>
      <c r="J168" s="332">
        <f>SUM($H$18:$H168)</f>
        <v>807233.0718946663</v>
      </c>
    </row>
    <row r="169" spans="1:10" ht="12.75">
      <c r="A169" s="329">
        <f t="shared" si="24"/>
        <v>152</v>
      </c>
      <c r="B169" s="330">
        <f t="shared" si="18"/>
        <v>43709</v>
      </c>
      <c r="C169" s="332">
        <f t="shared" si="25"/>
        <v>768796.0727728957</v>
      </c>
      <c r="D169" s="332">
        <f t="shared" si="19"/>
        <v>8863.821186236893</v>
      </c>
      <c r="E169" s="333">
        <f t="shared" si="20"/>
        <v>0</v>
      </c>
      <c r="F169" s="332">
        <f t="shared" si="21"/>
        <v>8863.821186236893</v>
      </c>
      <c r="G169" s="332">
        <f t="shared" si="22"/>
        <v>5019.840822372415</v>
      </c>
      <c r="H169" s="332">
        <f t="shared" si="26"/>
        <v>3843.9803638644785</v>
      </c>
      <c r="I169" s="332">
        <f t="shared" si="23"/>
        <v>763776.2319505232</v>
      </c>
      <c r="J169" s="332">
        <f>SUM($H$18:$H169)</f>
        <v>811077.0522585307</v>
      </c>
    </row>
    <row r="170" spans="1:10" ht="12.75">
      <c r="A170" s="329">
        <f t="shared" si="24"/>
        <v>153</v>
      </c>
      <c r="B170" s="330">
        <f t="shared" si="18"/>
        <v>43739</v>
      </c>
      <c r="C170" s="332">
        <f t="shared" si="25"/>
        <v>763776.2319505232</v>
      </c>
      <c r="D170" s="332">
        <f t="shared" si="19"/>
        <v>8863.821186236893</v>
      </c>
      <c r="E170" s="333">
        <f t="shared" si="20"/>
        <v>0</v>
      </c>
      <c r="F170" s="332">
        <f t="shared" si="21"/>
        <v>8863.821186236893</v>
      </c>
      <c r="G170" s="332">
        <f t="shared" si="22"/>
        <v>5044.940026484277</v>
      </c>
      <c r="H170" s="332">
        <f t="shared" si="26"/>
        <v>3818.881159752616</v>
      </c>
      <c r="I170" s="332">
        <f t="shared" si="23"/>
        <v>758731.2919240389</v>
      </c>
      <c r="J170" s="332">
        <f>SUM($H$18:$H170)</f>
        <v>814895.9334182834</v>
      </c>
    </row>
    <row r="171" spans="1:10" ht="12.75">
      <c r="A171" s="329">
        <f t="shared" si="24"/>
        <v>154</v>
      </c>
      <c r="B171" s="330">
        <f t="shared" si="18"/>
        <v>43770</v>
      </c>
      <c r="C171" s="332">
        <f t="shared" si="25"/>
        <v>758731.2919240389</v>
      </c>
      <c r="D171" s="332">
        <f t="shared" si="19"/>
        <v>8863.821186236893</v>
      </c>
      <c r="E171" s="333">
        <f t="shared" si="20"/>
        <v>0</v>
      </c>
      <c r="F171" s="332">
        <f t="shared" si="21"/>
        <v>8863.821186236893</v>
      </c>
      <c r="G171" s="332">
        <f t="shared" si="22"/>
        <v>5070.164726616698</v>
      </c>
      <c r="H171" s="332">
        <f t="shared" si="26"/>
        <v>3793.6564596201947</v>
      </c>
      <c r="I171" s="332">
        <f t="shared" si="23"/>
        <v>753661.1271974222</v>
      </c>
      <c r="J171" s="332">
        <f>SUM($H$18:$H171)</f>
        <v>818689.5898779036</v>
      </c>
    </row>
    <row r="172" spans="1:10" ht="12.75">
      <c r="A172" s="329">
        <f t="shared" si="24"/>
        <v>155</v>
      </c>
      <c r="B172" s="330">
        <f t="shared" si="18"/>
        <v>43800</v>
      </c>
      <c r="C172" s="332">
        <f t="shared" si="25"/>
        <v>753661.1271974222</v>
      </c>
      <c r="D172" s="332">
        <f t="shared" si="19"/>
        <v>8863.821186236893</v>
      </c>
      <c r="E172" s="333">
        <f t="shared" si="20"/>
        <v>0</v>
      </c>
      <c r="F172" s="332">
        <f t="shared" si="21"/>
        <v>8863.821186236893</v>
      </c>
      <c r="G172" s="332">
        <f t="shared" si="22"/>
        <v>5095.515550249782</v>
      </c>
      <c r="H172" s="332">
        <f t="shared" si="26"/>
        <v>3768.305635987111</v>
      </c>
      <c r="I172" s="332">
        <f t="shared" si="23"/>
        <v>748565.6116471724</v>
      </c>
      <c r="J172" s="332">
        <f>SUM($H$18:$H172)</f>
        <v>822457.8955138907</v>
      </c>
    </row>
    <row r="173" spans="1:10" ht="12.75">
      <c r="A173" s="329">
        <f t="shared" si="24"/>
        <v>156</v>
      </c>
      <c r="B173" s="330">
        <f t="shared" si="18"/>
        <v>43831</v>
      </c>
      <c r="C173" s="332">
        <f t="shared" si="25"/>
        <v>748565.6116471724</v>
      </c>
      <c r="D173" s="332">
        <f t="shared" si="19"/>
        <v>8863.821186236893</v>
      </c>
      <c r="E173" s="333">
        <f t="shared" si="20"/>
        <v>0</v>
      </c>
      <c r="F173" s="332">
        <f t="shared" si="21"/>
        <v>8863.821186236893</v>
      </c>
      <c r="G173" s="332">
        <f t="shared" si="22"/>
        <v>5120.993128001031</v>
      </c>
      <c r="H173" s="332">
        <f t="shared" si="26"/>
        <v>3742.8280582358616</v>
      </c>
      <c r="I173" s="332">
        <f t="shared" si="23"/>
        <v>743444.6185191714</v>
      </c>
      <c r="J173" s="332">
        <f>SUM($H$18:$H173)</f>
        <v>826200.7235721265</v>
      </c>
    </row>
    <row r="174" spans="1:10" ht="12.75">
      <c r="A174" s="329">
        <f t="shared" si="24"/>
        <v>157</v>
      </c>
      <c r="B174" s="330">
        <f t="shared" si="18"/>
        <v>43862</v>
      </c>
      <c r="C174" s="332">
        <f t="shared" si="25"/>
        <v>743444.6185191714</v>
      </c>
      <c r="D174" s="332">
        <f t="shared" si="19"/>
        <v>8863.821186236893</v>
      </c>
      <c r="E174" s="333">
        <f t="shared" si="20"/>
        <v>0</v>
      </c>
      <c r="F174" s="332">
        <f t="shared" si="21"/>
        <v>8863.821186236893</v>
      </c>
      <c r="G174" s="332">
        <f t="shared" si="22"/>
        <v>5146.598093641036</v>
      </c>
      <c r="H174" s="332">
        <f t="shared" si="26"/>
        <v>3717.223092595857</v>
      </c>
      <c r="I174" s="332">
        <f t="shared" si="23"/>
        <v>738298.0204255304</v>
      </c>
      <c r="J174" s="332">
        <f>SUM($H$18:$H174)</f>
        <v>829917.9466647223</v>
      </c>
    </row>
    <row r="175" spans="1:10" ht="12.75">
      <c r="A175" s="329">
        <f t="shared" si="24"/>
        <v>158</v>
      </c>
      <c r="B175" s="330">
        <f t="shared" si="18"/>
        <v>43891</v>
      </c>
      <c r="C175" s="332">
        <f t="shared" si="25"/>
        <v>738298.0204255304</v>
      </c>
      <c r="D175" s="332">
        <f t="shared" si="19"/>
        <v>8863.821186236893</v>
      </c>
      <c r="E175" s="333">
        <f t="shared" si="20"/>
        <v>0</v>
      </c>
      <c r="F175" s="332">
        <f t="shared" si="21"/>
        <v>8863.821186236893</v>
      </c>
      <c r="G175" s="332">
        <f t="shared" si="22"/>
        <v>5172.3310841092425</v>
      </c>
      <c r="H175" s="332">
        <f t="shared" si="26"/>
        <v>3691.4901021276514</v>
      </c>
      <c r="I175" s="332">
        <f t="shared" si="23"/>
        <v>733125.6893414211</v>
      </c>
      <c r="J175" s="332">
        <f>SUM($H$18:$H175)</f>
        <v>833609.43676685</v>
      </c>
    </row>
    <row r="176" spans="1:10" ht="12.75">
      <c r="A176" s="329">
        <f t="shared" si="24"/>
        <v>159</v>
      </c>
      <c r="B176" s="330">
        <f t="shared" si="18"/>
        <v>43922</v>
      </c>
      <c r="C176" s="332">
        <f t="shared" si="25"/>
        <v>733125.6893414211</v>
      </c>
      <c r="D176" s="332">
        <f t="shared" si="19"/>
        <v>8863.821186236893</v>
      </c>
      <c r="E176" s="333">
        <f t="shared" si="20"/>
        <v>0</v>
      </c>
      <c r="F176" s="332">
        <f t="shared" si="21"/>
        <v>8863.821186236893</v>
      </c>
      <c r="G176" s="332">
        <f t="shared" si="22"/>
        <v>5198.192739529788</v>
      </c>
      <c r="H176" s="332">
        <f t="shared" si="26"/>
        <v>3665.6284467071055</v>
      </c>
      <c r="I176" s="332">
        <f t="shared" si="23"/>
        <v>727927.4966018914</v>
      </c>
      <c r="J176" s="332">
        <f>SUM($H$18:$H176)</f>
        <v>837275.0652135571</v>
      </c>
    </row>
    <row r="177" spans="1:10" ht="12.75">
      <c r="A177" s="329">
        <f t="shared" si="24"/>
        <v>160</v>
      </c>
      <c r="B177" s="330">
        <f t="shared" si="18"/>
        <v>43952</v>
      </c>
      <c r="C177" s="332">
        <f t="shared" si="25"/>
        <v>727927.4966018914</v>
      </c>
      <c r="D177" s="332">
        <f t="shared" si="19"/>
        <v>8863.821186236893</v>
      </c>
      <c r="E177" s="333">
        <f t="shared" si="20"/>
        <v>0</v>
      </c>
      <c r="F177" s="332">
        <f t="shared" si="21"/>
        <v>8863.821186236893</v>
      </c>
      <c r="G177" s="332">
        <f t="shared" si="22"/>
        <v>5224.183703227436</v>
      </c>
      <c r="H177" s="332">
        <f t="shared" si="26"/>
        <v>3639.637483009457</v>
      </c>
      <c r="I177" s="332">
        <f t="shared" si="23"/>
        <v>722703.3128986639</v>
      </c>
      <c r="J177" s="332">
        <f>SUM($H$18:$H177)</f>
        <v>840914.7026965666</v>
      </c>
    </row>
    <row r="178" spans="1:10" ht="12.75">
      <c r="A178" s="329">
        <f t="shared" si="24"/>
        <v>161</v>
      </c>
      <c r="B178" s="330">
        <f t="shared" si="18"/>
        <v>43983</v>
      </c>
      <c r="C178" s="332">
        <f t="shared" si="25"/>
        <v>722703.3128986639</v>
      </c>
      <c r="D178" s="332">
        <f t="shared" si="19"/>
        <v>8863.821186236893</v>
      </c>
      <c r="E178" s="333">
        <f t="shared" si="20"/>
        <v>0</v>
      </c>
      <c r="F178" s="332">
        <f t="shared" si="21"/>
        <v>8863.821186236893</v>
      </c>
      <c r="G178" s="332">
        <f t="shared" si="22"/>
        <v>5250.304621743575</v>
      </c>
      <c r="H178" s="332">
        <f t="shared" si="26"/>
        <v>3613.516564493319</v>
      </c>
      <c r="I178" s="332">
        <f t="shared" si="23"/>
        <v>717453.0082769203</v>
      </c>
      <c r="J178" s="332">
        <f>SUM($H$18:$H178)</f>
        <v>844528.2192610599</v>
      </c>
    </row>
    <row r="179" spans="1:10" ht="12.75">
      <c r="A179" s="329">
        <f t="shared" si="24"/>
        <v>162</v>
      </c>
      <c r="B179" s="330">
        <f t="shared" si="18"/>
        <v>44013</v>
      </c>
      <c r="C179" s="332">
        <f t="shared" si="25"/>
        <v>717453.0082769203</v>
      </c>
      <c r="D179" s="332">
        <f t="shared" si="19"/>
        <v>8863.821186236893</v>
      </c>
      <c r="E179" s="333">
        <f t="shared" si="20"/>
        <v>0</v>
      </c>
      <c r="F179" s="332">
        <f t="shared" si="21"/>
        <v>8863.821186236893</v>
      </c>
      <c r="G179" s="332">
        <f t="shared" si="22"/>
        <v>5276.556144852291</v>
      </c>
      <c r="H179" s="332">
        <f t="shared" si="26"/>
        <v>3587.265041384602</v>
      </c>
      <c r="I179" s="332">
        <f t="shared" si="23"/>
        <v>712176.452132068</v>
      </c>
      <c r="J179" s="332">
        <f>SUM($H$18:$H179)</f>
        <v>848115.4843024445</v>
      </c>
    </row>
    <row r="180" spans="1:10" ht="12.75">
      <c r="A180" s="329">
        <f t="shared" si="24"/>
        <v>163</v>
      </c>
      <c r="B180" s="330">
        <f t="shared" si="18"/>
        <v>44044</v>
      </c>
      <c r="C180" s="332">
        <f t="shared" si="25"/>
        <v>712176.452132068</v>
      </c>
      <c r="D180" s="332">
        <f t="shared" si="19"/>
        <v>8863.821186236893</v>
      </c>
      <c r="E180" s="333">
        <f t="shared" si="20"/>
        <v>0</v>
      </c>
      <c r="F180" s="332">
        <f t="shared" si="21"/>
        <v>8863.821186236893</v>
      </c>
      <c r="G180" s="332">
        <f t="shared" si="22"/>
        <v>5302.9389255765545</v>
      </c>
      <c r="H180" s="332">
        <f t="shared" si="26"/>
        <v>3560.8822606603394</v>
      </c>
      <c r="I180" s="332">
        <f t="shared" si="23"/>
        <v>706873.5132064915</v>
      </c>
      <c r="J180" s="332">
        <f>SUM($H$18:$H180)</f>
        <v>851676.3665631048</v>
      </c>
    </row>
    <row r="181" spans="1:10" ht="12.75">
      <c r="A181" s="329">
        <f t="shared" si="24"/>
        <v>164</v>
      </c>
      <c r="B181" s="330">
        <f t="shared" si="18"/>
        <v>44075</v>
      </c>
      <c r="C181" s="332">
        <f t="shared" si="25"/>
        <v>706873.5132064915</v>
      </c>
      <c r="D181" s="332">
        <f t="shared" si="19"/>
        <v>8863.821186236893</v>
      </c>
      <c r="E181" s="333">
        <f t="shared" si="20"/>
        <v>0</v>
      </c>
      <c r="F181" s="332">
        <f t="shared" si="21"/>
        <v>8863.821186236893</v>
      </c>
      <c r="G181" s="332">
        <f t="shared" si="22"/>
        <v>5329.453620204436</v>
      </c>
      <c r="H181" s="332">
        <f t="shared" si="26"/>
        <v>3534.367566032457</v>
      </c>
      <c r="I181" s="332">
        <f t="shared" si="23"/>
        <v>701544.059586287</v>
      </c>
      <c r="J181" s="332">
        <f>SUM($H$18:$H181)</f>
        <v>855210.7341291372</v>
      </c>
    </row>
    <row r="182" spans="1:10" ht="12.75">
      <c r="A182" s="329">
        <f t="shared" si="24"/>
        <v>165</v>
      </c>
      <c r="B182" s="330">
        <f t="shared" si="18"/>
        <v>44105</v>
      </c>
      <c r="C182" s="332">
        <f t="shared" si="25"/>
        <v>701544.059586287</v>
      </c>
      <c r="D182" s="332">
        <f t="shared" si="19"/>
        <v>8863.821186236893</v>
      </c>
      <c r="E182" s="333">
        <f t="shared" si="20"/>
        <v>0</v>
      </c>
      <c r="F182" s="332">
        <f t="shared" si="21"/>
        <v>8863.821186236893</v>
      </c>
      <c r="G182" s="332">
        <f t="shared" si="22"/>
        <v>5356.100888305458</v>
      </c>
      <c r="H182" s="332">
        <f t="shared" si="26"/>
        <v>3507.720297931435</v>
      </c>
      <c r="I182" s="332">
        <f t="shared" si="23"/>
        <v>696187.9586979816</v>
      </c>
      <c r="J182" s="332">
        <f>SUM($H$18:$H182)</f>
        <v>858718.4544270687</v>
      </c>
    </row>
    <row r="183" spans="1:10" ht="12.75">
      <c r="A183" s="329">
        <f t="shared" si="24"/>
        <v>166</v>
      </c>
      <c r="B183" s="330">
        <f t="shared" si="18"/>
        <v>44136</v>
      </c>
      <c r="C183" s="332">
        <f t="shared" si="25"/>
        <v>696187.9586979816</v>
      </c>
      <c r="D183" s="332">
        <f t="shared" si="19"/>
        <v>8863.821186236893</v>
      </c>
      <c r="E183" s="333">
        <f t="shared" si="20"/>
        <v>0</v>
      </c>
      <c r="F183" s="332">
        <f t="shared" si="21"/>
        <v>8863.821186236893</v>
      </c>
      <c r="G183" s="332">
        <f t="shared" si="22"/>
        <v>5382.8813927469855</v>
      </c>
      <c r="H183" s="332">
        <f t="shared" si="26"/>
        <v>3480.9397934899075</v>
      </c>
      <c r="I183" s="332">
        <f t="shared" si="23"/>
        <v>690805.0773052346</v>
      </c>
      <c r="J183" s="332">
        <f>SUM($H$18:$H183)</f>
        <v>862199.3942205586</v>
      </c>
    </row>
    <row r="184" spans="1:10" ht="12.75">
      <c r="A184" s="329">
        <f t="shared" si="24"/>
        <v>167</v>
      </c>
      <c r="B184" s="330">
        <f t="shared" si="18"/>
        <v>44166</v>
      </c>
      <c r="C184" s="332">
        <f t="shared" si="25"/>
        <v>690805.0773052346</v>
      </c>
      <c r="D184" s="332">
        <f t="shared" si="19"/>
        <v>8863.821186236893</v>
      </c>
      <c r="E184" s="333">
        <f t="shared" si="20"/>
        <v>0</v>
      </c>
      <c r="F184" s="332">
        <f t="shared" si="21"/>
        <v>8863.821186236893</v>
      </c>
      <c r="G184" s="332">
        <f t="shared" si="22"/>
        <v>5409.7957997107205</v>
      </c>
      <c r="H184" s="332">
        <f t="shared" si="26"/>
        <v>3454.025386526173</v>
      </c>
      <c r="I184" s="332">
        <f t="shared" si="23"/>
        <v>685395.281505524</v>
      </c>
      <c r="J184" s="332">
        <f>SUM($H$18:$H184)</f>
        <v>865653.4196070847</v>
      </c>
    </row>
    <row r="185" spans="1:10" ht="12.75">
      <c r="A185" s="329">
        <f t="shared" si="24"/>
        <v>168</v>
      </c>
      <c r="B185" s="330">
        <f t="shared" si="18"/>
        <v>44197</v>
      </c>
      <c r="C185" s="332">
        <f t="shared" si="25"/>
        <v>685395.281505524</v>
      </c>
      <c r="D185" s="332">
        <f t="shared" si="19"/>
        <v>8863.821186236893</v>
      </c>
      <c r="E185" s="333">
        <f t="shared" si="20"/>
        <v>0</v>
      </c>
      <c r="F185" s="332">
        <f t="shared" si="21"/>
        <v>8863.821186236893</v>
      </c>
      <c r="G185" s="332">
        <f t="shared" si="22"/>
        <v>5436.844778709274</v>
      </c>
      <c r="H185" s="332">
        <f t="shared" si="26"/>
        <v>3426.97640752762</v>
      </c>
      <c r="I185" s="332">
        <f t="shared" si="23"/>
        <v>679958.4367268147</v>
      </c>
      <c r="J185" s="332">
        <f>SUM($H$18:$H185)</f>
        <v>869080.3960146123</v>
      </c>
    </row>
    <row r="186" spans="1:10" ht="12.75">
      <c r="A186" s="329">
        <f t="shared" si="24"/>
        <v>169</v>
      </c>
      <c r="B186" s="330">
        <f t="shared" si="18"/>
        <v>44228</v>
      </c>
      <c r="C186" s="332">
        <f t="shared" si="25"/>
        <v>679958.4367268147</v>
      </c>
      <c r="D186" s="332">
        <f t="shared" si="19"/>
        <v>8863.821186236893</v>
      </c>
      <c r="E186" s="333">
        <f t="shared" si="20"/>
        <v>0</v>
      </c>
      <c r="F186" s="332">
        <f t="shared" si="21"/>
        <v>8863.821186236893</v>
      </c>
      <c r="G186" s="332">
        <f t="shared" si="22"/>
        <v>5464.02900260282</v>
      </c>
      <c r="H186" s="332">
        <f t="shared" si="26"/>
        <v>3399.7921836340734</v>
      </c>
      <c r="I186" s="332">
        <f t="shared" si="23"/>
        <v>674494.4077242119</v>
      </c>
      <c r="J186" s="332">
        <f>SUM($H$18:$H186)</f>
        <v>872480.1881982464</v>
      </c>
    </row>
    <row r="187" spans="1:10" ht="12.75">
      <c r="A187" s="329">
        <f t="shared" si="24"/>
        <v>170</v>
      </c>
      <c r="B187" s="330">
        <f t="shared" si="18"/>
        <v>44256</v>
      </c>
      <c r="C187" s="332">
        <f t="shared" si="25"/>
        <v>674494.4077242119</v>
      </c>
      <c r="D187" s="332">
        <f t="shared" si="19"/>
        <v>8863.821186236893</v>
      </c>
      <c r="E187" s="333">
        <f t="shared" si="20"/>
        <v>0</v>
      </c>
      <c r="F187" s="332">
        <f t="shared" si="21"/>
        <v>8863.821186236893</v>
      </c>
      <c r="G187" s="332">
        <f t="shared" si="22"/>
        <v>5491.349147615834</v>
      </c>
      <c r="H187" s="332">
        <f t="shared" si="26"/>
        <v>3372.4720386210593</v>
      </c>
      <c r="I187" s="332">
        <f t="shared" si="23"/>
        <v>669003.0585765961</v>
      </c>
      <c r="J187" s="332">
        <f>SUM($H$18:$H187)</f>
        <v>875852.6602368675</v>
      </c>
    </row>
    <row r="188" spans="1:10" ht="12.75">
      <c r="A188" s="329">
        <f t="shared" si="24"/>
        <v>171</v>
      </c>
      <c r="B188" s="330">
        <f t="shared" si="18"/>
        <v>44287</v>
      </c>
      <c r="C188" s="332">
        <f t="shared" si="25"/>
        <v>669003.0585765961</v>
      </c>
      <c r="D188" s="332">
        <f t="shared" si="19"/>
        <v>8863.821186236893</v>
      </c>
      <c r="E188" s="333">
        <f t="shared" si="20"/>
        <v>0</v>
      </c>
      <c r="F188" s="332">
        <f t="shared" si="21"/>
        <v>8863.821186236893</v>
      </c>
      <c r="G188" s="332">
        <f t="shared" si="22"/>
        <v>5518.805893353912</v>
      </c>
      <c r="H188" s="332">
        <f t="shared" si="26"/>
        <v>3345.0152928829807</v>
      </c>
      <c r="I188" s="332">
        <f t="shared" si="23"/>
        <v>663484.2526832422</v>
      </c>
      <c r="J188" s="332">
        <f>SUM($H$18:$H188)</f>
        <v>879197.6755297505</v>
      </c>
    </row>
    <row r="189" spans="1:10" ht="12.75">
      <c r="A189" s="329">
        <f t="shared" si="24"/>
        <v>172</v>
      </c>
      <c r="B189" s="330">
        <f t="shared" si="18"/>
        <v>44317</v>
      </c>
      <c r="C189" s="332">
        <f t="shared" si="25"/>
        <v>663484.2526832422</v>
      </c>
      <c r="D189" s="332">
        <f t="shared" si="19"/>
        <v>8863.821186236893</v>
      </c>
      <c r="E189" s="333">
        <f t="shared" si="20"/>
        <v>0</v>
      </c>
      <c r="F189" s="332">
        <f t="shared" si="21"/>
        <v>8863.821186236893</v>
      </c>
      <c r="G189" s="332">
        <f t="shared" si="22"/>
        <v>5546.399922820683</v>
      </c>
      <c r="H189" s="332">
        <f t="shared" si="26"/>
        <v>3317.421263416211</v>
      </c>
      <c r="I189" s="332">
        <f t="shared" si="23"/>
        <v>657937.8527604215</v>
      </c>
      <c r="J189" s="332">
        <f>SUM($H$18:$H189)</f>
        <v>882515.0967931667</v>
      </c>
    </row>
    <row r="190" spans="1:10" ht="12.75">
      <c r="A190" s="329">
        <f t="shared" si="24"/>
        <v>173</v>
      </c>
      <c r="B190" s="330">
        <f t="shared" si="18"/>
        <v>44348</v>
      </c>
      <c r="C190" s="332">
        <f t="shared" si="25"/>
        <v>657937.8527604215</v>
      </c>
      <c r="D190" s="332">
        <f t="shared" si="19"/>
        <v>8863.821186236893</v>
      </c>
      <c r="E190" s="333">
        <f t="shared" si="20"/>
        <v>0</v>
      </c>
      <c r="F190" s="332">
        <f t="shared" si="21"/>
        <v>8863.821186236893</v>
      </c>
      <c r="G190" s="332">
        <f t="shared" si="22"/>
        <v>5574.131922434786</v>
      </c>
      <c r="H190" s="332">
        <f t="shared" si="26"/>
        <v>3289.6892638021072</v>
      </c>
      <c r="I190" s="332">
        <f t="shared" si="23"/>
        <v>652363.7208379867</v>
      </c>
      <c r="J190" s="332">
        <f>SUM($H$18:$H190)</f>
        <v>885804.7860569688</v>
      </c>
    </row>
    <row r="191" spans="1:10" ht="12.75">
      <c r="A191" s="329">
        <f t="shared" si="24"/>
        <v>174</v>
      </c>
      <c r="B191" s="330">
        <f t="shared" si="18"/>
        <v>44378</v>
      </c>
      <c r="C191" s="332">
        <f t="shared" si="25"/>
        <v>652363.7208379867</v>
      </c>
      <c r="D191" s="332">
        <f t="shared" si="19"/>
        <v>8863.821186236893</v>
      </c>
      <c r="E191" s="333">
        <f t="shared" si="20"/>
        <v>0</v>
      </c>
      <c r="F191" s="332">
        <f t="shared" si="21"/>
        <v>8863.821186236893</v>
      </c>
      <c r="G191" s="332">
        <f t="shared" si="22"/>
        <v>5602.00258204696</v>
      </c>
      <c r="H191" s="332">
        <f t="shared" si="26"/>
        <v>3261.8186041899335</v>
      </c>
      <c r="I191" s="332">
        <f t="shared" si="23"/>
        <v>646761.7182559397</v>
      </c>
      <c r="J191" s="332">
        <f>SUM($H$18:$H191)</f>
        <v>889066.6046611588</v>
      </c>
    </row>
    <row r="192" spans="1:10" ht="12.75">
      <c r="A192" s="329">
        <f t="shared" si="24"/>
        <v>175</v>
      </c>
      <c r="B192" s="330">
        <f t="shared" si="18"/>
        <v>44409</v>
      </c>
      <c r="C192" s="332">
        <f t="shared" si="25"/>
        <v>646761.7182559397</v>
      </c>
      <c r="D192" s="332">
        <f t="shared" si="19"/>
        <v>8863.821186236893</v>
      </c>
      <c r="E192" s="333">
        <f t="shared" si="20"/>
        <v>0</v>
      </c>
      <c r="F192" s="332">
        <f t="shared" si="21"/>
        <v>8863.821186236893</v>
      </c>
      <c r="G192" s="332">
        <f t="shared" si="22"/>
        <v>5630.012594957196</v>
      </c>
      <c r="H192" s="332">
        <f t="shared" si="26"/>
        <v>3233.8085912796982</v>
      </c>
      <c r="I192" s="332">
        <f t="shared" si="23"/>
        <v>641131.7056609825</v>
      </c>
      <c r="J192" s="332">
        <f>SUM($H$18:$H192)</f>
        <v>892300.4132524384</v>
      </c>
    </row>
    <row r="193" spans="1:10" ht="12.75">
      <c r="A193" s="329">
        <f t="shared" si="24"/>
        <v>176</v>
      </c>
      <c r="B193" s="330">
        <f t="shared" si="18"/>
        <v>44440</v>
      </c>
      <c r="C193" s="332">
        <f t="shared" si="25"/>
        <v>641131.7056609825</v>
      </c>
      <c r="D193" s="332">
        <f t="shared" si="19"/>
        <v>8863.821186236893</v>
      </c>
      <c r="E193" s="333">
        <f t="shared" si="20"/>
        <v>0</v>
      </c>
      <c r="F193" s="332">
        <f t="shared" si="21"/>
        <v>8863.821186236893</v>
      </c>
      <c r="G193" s="332">
        <f t="shared" si="22"/>
        <v>5658.162657931982</v>
      </c>
      <c r="H193" s="332">
        <f t="shared" si="26"/>
        <v>3205.658528304912</v>
      </c>
      <c r="I193" s="332">
        <f t="shared" si="23"/>
        <v>635473.5430030505</v>
      </c>
      <c r="J193" s="332">
        <f>SUM($H$18:$H193)</f>
        <v>895506.0717807433</v>
      </c>
    </row>
    <row r="194" spans="1:10" ht="12.75">
      <c r="A194" s="329">
        <f t="shared" si="24"/>
        <v>177</v>
      </c>
      <c r="B194" s="330">
        <f t="shared" si="18"/>
        <v>44470</v>
      </c>
      <c r="C194" s="332">
        <f t="shared" si="25"/>
        <v>635473.5430030505</v>
      </c>
      <c r="D194" s="332">
        <f t="shared" si="19"/>
        <v>8863.821186236893</v>
      </c>
      <c r="E194" s="333">
        <f t="shared" si="20"/>
        <v>0</v>
      </c>
      <c r="F194" s="332">
        <f t="shared" si="21"/>
        <v>8863.821186236893</v>
      </c>
      <c r="G194" s="332">
        <f t="shared" si="22"/>
        <v>5686.453471221641</v>
      </c>
      <c r="H194" s="332">
        <f t="shared" si="26"/>
        <v>3177.3677150152525</v>
      </c>
      <c r="I194" s="332">
        <f t="shared" si="23"/>
        <v>629787.0895318289</v>
      </c>
      <c r="J194" s="332">
        <f>SUM($H$18:$H194)</f>
        <v>898683.4394957586</v>
      </c>
    </row>
    <row r="195" spans="1:10" ht="12.75">
      <c r="A195" s="329">
        <f t="shared" si="24"/>
        <v>178</v>
      </c>
      <c r="B195" s="330">
        <f t="shared" si="18"/>
        <v>44501</v>
      </c>
      <c r="C195" s="332">
        <f t="shared" si="25"/>
        <v>629787.0895318289</v>
      </c>
      <c r="D195" s="332">
        <f t="shared" si="19"/>
        <v>8863.821186236893</v>
      </c>
      <c r="E195" s="333">
        <f t="shared" si="20"/>
        <v>0</v>
      </c>
      <c r="F195" s="332">
        <f t="shared" si="21"/>
        <v>8863.821186236893</v>
      </c>
      <c r="G195" s="332">
        <f t="shared" si="22"/>
        <v>5714.88573857775</v>
      </c>
      <c r="H195" s="332">
        <f t="shared" si="26"/>
        <v>3148.935447659144</v>
      </c>
      <c r="I195" s="332">
        <f t="shared" si="23"/>
        <v>624072.2037932512</v>
      </c>
      <c r="J195" s="332">
        <f>SUM($H$18:$H195)</f>
        <v>901832.3749434177</v>
      </c>
    </row>
    <row r="196" spans="1:10" ht="12.75">
      <c r="A196" s="329">
        <f t="shared" si="24"/>
        <v>179</v>
      </c>
      <c r="B196" s="330">
        <f t="shared" si="18"/>
        <v>44531</v>
      </c>
      <c r="C196" s="332">
        <f t="shared" si="25"/>
        <v>624072.2037932512</v>
      </c>
      <c r="D196" s="332">
        <f t="shared" si="19"/>
        <v>8863.821186236893</v>
      </c>
      <c r="E196" s="333">
        <f t="shared" si="20"/>
        <v>0</v>
      </c>
      <c r="F196" s="332">
        <f t="shared" si="21"/>
        <v>8863.821186236893</v>
      </c>
      <c r="G196" s="332">
        <f t="shared" si="22"/>
        <v>5743.460167270638</v>
      </c>
      <c r="H196" s="332">
        <f t="shared" si="26"/>
        <v>3120.361018966256</v>
      </c>
      <c r="I196" s="332">
        <f t="shared" si="23"/>
        <v>618328.7436259806</v>
      </c>
      <c r="J196" s="332">
        <f>SUM($H$18:$H196)</f>
        <v>904952.735962384</v>
      </c>
    </row>
    <row r="197" spans="1:10" ht="12.75">
      <c r="A197" s="329">
        <f t="shared" si="24"/>
        <v>180</v>
      </c>
      <c r="B197" s="330">
        <f t="shared" si="18"/>
        <v>44562</v>
      </c>
      <c r="C197" s="332">
        <f t="shared" si="25"/>
        <v>618328.7436259806</v>
      </c>
      <c r="D197" s="332">
        <f t="shared" si="19"/>
        <v>8863.821186236893</v>
      </c>
      <c r="E197" s="333">
        <f t="shared" si="20"/>
        <v>0</v>
      </c>
      <c r="F197" s="332">
        <f t="shared" si="21"/>
        <v>8863.821186236893</v>
      </c>
      <c r="G197" s="332">
        <f t="shared" si="22"/>
        <v>5772.177468106991</v>
      </c>
      <c r="H197" s="332">
        <f t="shared" si="26"/>
        <v>3091.6437181299025</v>
      </c>
      <c r="I197" s="332">
        <f t="shared" si="23"/>
        <v>612556.5661578736</v>
      </c>
      <c r="J197" s="332">
        <f>SUM($H$18:$H197)</f>
        <v>908044.379680514</v>
      </c>
    </row>
    <row r="198" spans="1:10" ht="12.75">
      <c r="A198" s="329">
        <f t="shared" si="24"/>
        <v>181</v>
      </c>
      <c r="B198" s="330">
        <f t="shared" si="18"/>
        <v>44593</v>
      </c>
      <c r="C198" s="332">
        <f t="shared" si="25"/>
        <v>612556.5661578736</v>
      </c>
      <c r="D198" s="332">
        <f t="shared" si="19"/>
        <v>8863.821186236893</v>
      </c>
      <c r="E198" s="333">
        <f t="shared" si="20"/>
        <v>0</v>
      </c>
      <c r="F198" s="332">
        <f t="shared" si="21"/>
        <v>8863.821186236893</v>
      </c>
      <c r="G198" s="332">
        <f t="shared" si="22"/>
        <v>5801.038355447525</v>
      </c>
      <c r="H198" s="332">
        <f t="shared" si="26"/>
        <v>3062.7828307893683</v>
      </c>
      <c r="I198" s="332">
        <f t="shared" si="23"/>
        <v>606755.5278024261</v>
      </c>
      <c r="J198" s="332">
        <f>SUM($H$18:$H198)</f>
        <v>911107.1625113033</v>
      </c>
    </row>
    <row r="199" spans="1:10" ht="12.75">
      <c r="A199" s="329">
        <f t="shared" si="24"/>
        <v>182</v>
      </c>
      <c r="B199" s="330">
        <f t="shared" si="18"/>
        <v>44621</v>
      </c>
      <c r="C199" s="332">
        <f t="shared" si="25"/>
        <v>606755.5278024261</v>
      </c>
      <c r="D199" s="332">
        <f t="shared" si="19"/>
        <v>8863.821186236893</v>
      </c>
      <c r="E199" s="333">
        <f t="shared" si="20"/>
        <v>0</v>
      </c>
      <c r="F199" s="332">
        <f t="shared" si="21"/>
        <v>8863.821186236893</v>
      </c>
      <c r="G199" s="332">
        <f t="shared" si="22"/>
        <v>5830.043547224763</v>
      </c>
      <c r="H199" s="332">
        <f t="shared" si="26"/>
        <v>3033.7776390121307</v>
      </c>
      <c r="I199" s="332">
        <f t="shared" si="23"/>
        <v>600925.4842552014</v>
      </c>
      <c r="J199" s="332">
        <f>SUM($H$18:$H199)</f>
        <v>914140.9401503154</v>
      </c>
    </row>
    <row r="200" spans="1:10" ht="12.75">
      <c r="A200" s="329">
        <f t="shared" si="24"/>
        <v>183</v>
      </c>
      <c r="B200" s="330">
        <f t="shared" si="18"/>
        <v>44652</v>
      </c>
      <c r="C200" s="332">
        <f t="shared" si="25"/>
        <v>600925.4842552014</v>
      </c>
      <c r="D200" s="332">
        <f t="shared" si="19"/>
        <v>8863.821186236893</v>
      </c>
      <c r="E200" s="333">
        <f t="shared" si="20"/>
        <v>0</v>
      </c>
      <c r="F200" s="332">
        <f t="shared" si="21"/>
        <v>8863.821186236893</v>
      </c>
      <c r="G200" s="332">
        <f t="shared" si="22"/>
        <v>5859.193764960886</v>
      </c>
      <c r="H200" s="332">
        <f t="shared" si="26"/>
        <v>3004.627421276007</v>
      </c>
      <c r="I200" s="332">
        <f t="shared" si="23"/>
        <v>595066.2904902406</v>
      </c>
      <c r="J200" s="332">
        <f>SUM($H$18:$H200)</f>
        <v>917145.5675715915</v>
      </c>
    </row>
    <row r="201" spans="1:10" ht="12.75">
      <c r="A201" s="329">
        <f t="shared" si="24"/>
        <v>184</v>
      </c>
      <c r="B201" s="330">
        <f t="shared" si="18"/>
        <v>44682</v>
      </c>
      <c r="C201" s="332">
        <f t="shared" si="25"/>
        <v>595066.2904902406</v>
      </c>
      <c r="D201" s="332">
        <f t="shared" si="19"/>
        <v>8863.821186236893</v>
      </c>
      <c r="E201" s="333">
        <f t="shared" si="20"/>
        <v>0</v>
      </c>
      <c r="F201" s="332">
        <f t="shared" si="21"/>
        <v>8863.821186236893</v>
      </c>
      <c r="G201" s="332">
        <f t="shared" si="22"/>
        <v>5888.489733785691</v>
      </c>
      <c r="H201" s="332">
        <f t="shared" si="26"/>
        <v>2975.3314524512025</v>
      </c>
      <c r="I201" s="332">
        <f t="shared" si="23"/>
        <v>589177.8007564548</v>
      </c>
      <c r="J201" s="332">
        <f>SUM($H$18:$H201)</f>
        <v>920120.8990240427</v>
      </c>
    </row>
    <row r="202" spans="1:10" ht="12.75">
      <c r="A202" s="329">
        <f t="shared" si="24"/>
        <v>185</v>
      </c>
      <c r="B202" s="330">
        <f t="shared" si="18"/>
        <v>44713</v>
      </c>
      <c r="C202" s="332">
        <f t="shared" si="25"/>
        <v>589177.8007564548</v>
      </c>
      <c r="D202" s="332">
        <f t="shared" si="19"/>
        <v>8863.821186236893</v>
      </c>
      <c r="E202" s="333">
        <f t="shared" si="20"/>
        <v>0</v>
      </c>
      <c r="F202" s="332">
        <f t="shared" si="21"/>
        <v>8863.821186236893</v>
      </c>
      <c r="G202" s="332">
        <f t="shared" si="22"/>
        <v>5917.932182454619</v>
      </c>
      <c r="H202" s="332">
        <f t="shared" si="26"/>
        <v>2945.8890037822744</v>
      </c>
      <c r="I202" s="332">
        <f t="shared" si="23"/>
        <v>583259.8685740002</v>
      </c>
      <c r="J202" s="332">
        <f>SUM($H$18:$H202)</f>
        <v>923066.788027825</v>
      </c>
    </row>
    <row r="203" spans="1:10" ht="12.75">
      <c r="A203" s="329">
        <f t="shared" si="24"/>
        <v>186</v>
      </c>
      <c r="B203" s="330">
        <f t="shared" si="18"/>
        <v>44743</v>
      </c>
      <c r="C203" s="332">
        <f t="shared" si="25"/>
        <v>583259.8685740002</v>
      </c>
      <c r="D203" s="332">
        <f t="shared" si="19"/>
        <v>8863.821186236893</v>
      </c>
      <c r="E203" s="333">
        <f t="shared" si="20"/>
        <v>0</v>
      </c>
      <c r="F203" s="332">
        <f t="shared" si="21"/>
        <v>8863.821186236893</v>
      </c>
      <c r="G203" s="332">
        <f t="shared" si="22"/>
        <v>5947.521843366892</v>
      </c>
      <c r="H203" s="332">
        <f t="shared" si="26"/>
        <v>2916.299342870001</v>
      </c>
      <c r="I203" s="332">
        <f t="shared" si="23"/>
        <v>577312.3467306333</v>
      </c>
      <c r="J203" s="332">
        <f>SUM($H$18:$H203)</f>
        <v>925983.087370695</v>
      </c>
    </row>
    <row r="204" spans="1:10" ht="12.75">
      <c r="A204" s="329">
        <f t="shared" si="24"/>
        <v>187</v>
      </c>
      <c r="B204" s="330">
        <f t="shared" si="18"/>
        <v>44774</v>
      </c>
      <c r="C204" s="332">
        <f t="shared" si="25"/>
        <v>577312.3467306333</v>
      </c>
      <c r="D204" s="332">
        <f t="shared" si="19"/>
        <v>8863.821186236893</v>
      </c>
      <c r="E204" s="333">
        <f t="shared" si="20"/>
        <v>0</v>
      </c>
      <c r="F204" s="332">
        <f t="shared" si="21"/>
        <v>8863.821186236893</v>
      </c>
      <c r="G204" s="332">
        <f t="shared" si="22"/>
        <v>5977.259452583727</v>
      </c>
      <c r="H204" s="332">
        <f t="shared" si="26"/>
        <v>2886.5617336531664</v>
      </c>
      <c r="I204" s="332">
        <f t="shared" si="23"/>
        <v>571335.0872780496</v>
      </c>
      <c r="J204" s="332">
        <f>SUM($H$18:$H204)</f>
        <v>928869.6491043482</v>
      </c>
    </row>
    <row r="205" spans="1:10" ht="12.75">
      <c r="A205" s="329">
        <f t="shared" si="24"/>
        <v>188</v>
      </c>
      <c r="B205" s="330">
        <f t="shared" si="18"/>
        <v>44805</v>
      </c>
      <c r="C205" s="332">
        <f t="shared" si="25"/>
        <v>571335.0872780496</v>
      </c>
      <c r="D205" s="332">
        <f t="shared" si="19"/>
        <v>8863.821186236893</v>
      </c>
      <c r="E205" s="333">
        <f t="shared" si="20"/>
        <v>0</v>
      </c>
      <c r="F205" s="332">
        <f t="shared" si="21"/>
        <v>8863.821186236893</v>
      </c>
      <c r="G205" s="332">
        <f t="shared" si="22"/>
        <v>6007.145749846646</v>
      </c>
      <c r="H205" s="332">
        <f t="shared" si="26"/>
        <v>2856.675436390248</v>
      </c>
      <c r="I205" s="332">
        <f t="shared" si="23"/>
        <v>565327.941528203</v>
      </c>
      <c r="J205" s="332">
        <f>SUM($H$18:$H205)</f>
        <v>931726.3245407384</v>
      </c>
    </row>
    <row r="206" spans="1:10" ht="12.75">
      <c r="A206" s="329">
        <f t="shared" si="24"/>
        <v>189</v>
      </c>
      <c r="B206" s="330">
        <f t="shared" si="18"/>
        <v>44835</v>
      </c>
      <c r="C206" s="332">
        <f t="shared" si="25"/>
        <v>565327.941528203</v>
      </c>
      <c r="D206" s="332">
        <f t="shared" si="19"/>
        <v>8863.821186236893</v>
      </c>
      <c r="E206" s="333">
        <f t="shared" si="20"/>
        <v>0</v>
      </c>
      <c r="F206" s="332">
        <f t="shared" si="21"/>
        <v>8863.821186236893</v>
      </c>
      <c r="G206" s="332">
        <f t="shared" si="22"/>
        <v>6037.1814785958795</v>
      </c>
      <c r="H206" s="332">
        <f t="shared" si="26"/>
        <v>2826.6397076410144</v>
      </c>
      <c r="I206" s="332">
        <f t="shared" si="23"/>
        <v>559290.7600496071</v>
      </c>
      <c r="J206" s="332">
        <f>SUM($H$18:$H206)</f>
        <v>934552.9642483793</v>
      </c>
    </row>
    <row r="207" spans="1:10" ht="12.75">
      <c r="A207" s="329">
        <f t="shared" si="24"/>
        <v>190</v>
      </c>
      <c r="B207" s="330">
        <f t="shared" si="18"/>
        <v>44866</v>
      </c>
      <c r="C207" s="332">
        <f t="shared" si="25"/>
        <v>559290.7600496071</v>
      </c>
      <c r="D207" s="332">
        <f t="shared" si="19"/>
        <v>8863.821186236893</v>
      </c>
      <c r="E207" s="333">
        <f t="shared" si="20"/>
        <v>0</v>
      </c>
      <c r="F207" s="332">
        <f t="shared" si="21"/>
        <v>8863.821186236893</v>
      </c>
      <c r="G207" s="332">
        <f t="shared" si="22"/>
        <v>6067.367385988859</v>
      </c>
      <c r="H207" s="332">
        <f t="shared" si="26"/>
        <v>2796.4538002480353</v>
      </c>
      <c r="I207" s="332">
        <f t="shared" si="23"/>
        <v>553223.3926636183</v>
      </c>
      <c r="J207" s="332">
        <f>SUM($H$18:$H207)</f>
        <v>937349.4180486273</v>
      </c>
    </row>
    <row r="208" spans="1:10" ht="12.75">
      <c r="A208" s="329">
        <f t="shared" si="24"/>
        <v>191</v>
      </c>
      <c r="B208" s="330">
        <f t="shared" si="18"/>
        <v>44896</v>
      </c>
      <c r="C208" s="332">
        <f t="shared" si="25"/>
        <v>553223.3926636183</v>
      </c>
      <c r="D208" s="332">
        <f t="shared" si="19"/>
        <v>8863.821186236893</v>
      </c>
      <c r="E208" s="333">
        <f t="shared" si="20"/>
        <v>0</v>
      </c>
      <c r="F208" s="332">
        <f t="shared" si="21"/>
        <v>8863.821186236893</v>
      </c>
      <c r="G208" s="332">
        <f t="shared" si="22"/>
        <v>6097.704222918803</v>
      </c>
      <c r="H208" s="332">
        <f t="shared" si="26"/>
        <v>2766.116963318091</v>
      </c>
      <c r="I208" s="332">
        <f t="shared" si="23"/>
        <v>547125.6884406995</v>
      </c>
      <c r="J208" s="332">
        <f>SUM($H$18:$H208)</f>
        <v>940115.5350119454</v>
      </c>
    </row>
    <row r="209" spans="1:10" ht="12.75">
      <c r="A209" s="329">
        <f t="shared" si="24"/>
        <v>192</v>
      </c>
      <c r="B209" s="330">
        <f t="shared" si="18"/>
        <v>44927</v>
      </c>
      <c r="C209" s="332">
        <f t="shared" si="25"/>
        <v>547125.6884406995</v>
      </c>
      <c r="D209" s="332">
        <f t="shared" si="19"/>
        <v>8863.821186236893</v>
      </c>
      <c r="E209" s="333">
        <f t="shared" si="20"/>
        <v>0</v>
      </c>
      <c r="F209" s="332">
        <f t="shared" si="21"/>
        <v>8863.821186236893</v>
      </c>
      <c r="G209" s="332">
        <f t="shared" si="22"/>
        <v>6128.192744033397</v>
      </c>
      <c r="H209" s="332">
        <f t="shared" si="26"/>
        <v>2735.6284422034973</v>
      </c>
      <c r="I209" s="332">
        <f t="shared" si="23"/>
        <v>540997.4956966661</v>
      </c>
      <c r="J209" s="332">
        <f>SUM($H$18:$H209)</f>
        <v>942851.1634541489</v>
      </c>
    </row>
    <row r="210" spans="1:10" ht="12.75">
      <c r="A210" s="329">
        <f t="shared" si="24"/>
        <v>193</v>
      </c>
      <c r="B210" s="330">
        <f aca="true" t="shared" si="27" ref="B210:B273">IF(Pay_Num_3&lt;&gt;"",DATE(YEAR(Loan_Start_3),MONTH(Loan_Start_3)+(Pay_Num_3)*12/Num_Pmt_Per_Year_3,DAY(Loan_Start_3)),"")</f>
        <v>44958</v>
      </c>
      <c r="C210" s="332">
        <f t="shared" si="25"/>
        <v>540997.4956966661</v>
      </c>
      <c r="D210" s="332">
        <f aca="true" t="shared" si="28" ref="D210:D273">IF(Pay_Num_3&lt;&gt;"",Scheduled_Monthly_Payment_3,"")</f>
        <v>8863.821186236893</v>
      </c>
      <c r="E210" s="333">
        <f aca="true" t="shared" si="29" ref="E210:E273">IF(AND(Pay_Num_3&lt;&gt;"",Sched_Pay_3+Scheduled_Extra_Payments_3&lt;Beg_Bal_3),Scheduled_Extra_Payments_3,IF(AND(Pay_Num_3&lt;&gt;"",Beg_Bal_3-Sched_Pay_3&gt;0),Beg_Bal_3-Sched_Pay_3,IF(Pay_Num_3&lt;&gt;"",0,"")))</f>
        <v>0</v>
      </c>
      <c r="F210" s="332">
        <f aca="true" t="shared" si="30" ref="F210:F273">IF(AND(Pay_Num_3&lt;&gt;"",Sched_Pay_3+Extra_Pay_3&lt;Beg_Bal_3),Sched_Pay_3+Extra_Pay_3,IF(Pay_Num_3&lt;&gt;"",Beg_Bal_3,""))</f>
        <v>8863.821186236893</v>
      </c>
      <c r="G210" s="332">
        <f aca="true" t="shared" si="31" ref="G210:G273">IF(Pay_Num_3&lt;&gt;"",Total_Pay_3-Int_3,"")</f>
        <v>6158.833707753563</v>
      </c>
      <c r="H210" s="332">
        <f t="shared" si="26"/>
        <v>2704.9874784833305</v>
      </c>
      <c r="I210" s="332">
        <f aca="true" t="shared" si="32" ref="I210:I273">IF(AND(Pay_Num_3&lt;&gt;"",Sched_Pay_3+Extra_Pay_3&lt;Beg_Bal_3),Beg_Bal_3-Princ_3,IF(Pay_Num_3&lt;&gt;"",0,""))</f>
        <v>534838.6619889125</v>
      </c>
      <c r="J210" s="332">
        <f>SUM($H$18:$H210)</f>
        <v>945556.1509326323</v>
      </c>
    </row>
    <row r="211" spans="1:10" ht="12.75">
      <c r="A211" s="329">
        <f aca="true" t="shared" si="33" ref="A211:A274">IF(Values_Entered_3,A210+1,"")</f>
        <v>194</v>
      </c>
      <c r="B211" s="330">
        <f t="shared" si="27"/>
        <v>44986</v>
      </c>
      <c r="C211" s="332">
        <f aca="true" t="shared" si="34" ref="C211:C274">IF(Pay_Num_3&lt;&gt;"",I210,"")</f>
        <v>534838.6619889125</v>
      </c>
      <c r="D211" s="332">
        <f t="shared" si="28"/>
        <v>8863.821186236893</v>
      </c>
      <c r="E211" s="333">
        <f t="shared" si="29"/>
        <v>0</v>
      </c>
      <c r="F211" s="332">
        <f t="shared" si="30"/>
        <v>8863.821186236893</v>
      </c>
      <c r="G211" s="332">
        <f t="shared" si="31"/>
        <v>6189.627876292331</v>
      </c>
      <c r="H211" s="332">
        <f aca="true" t="shared" si="35" ref="H211:H274">IF(Pay_Num_3&lt;&gt;"",Beg_Bal_3*Interest_Rate_3/Num_Pmt_Per_Year_3,"")</f>
        <v>2674.1933099445623</v>
      </c>
      <c r="I211" s="332">
        <f t="shared" si="32"/>
        <v>528649.0341126202</v>
      </c>
      <c r="J211" s="332">
        <f>SUM($H$18:$H211)</f>
        <v>948230.3442425769</v>
      </c>
    </row>
    <row r="212" spans="1:10" ht="12.75">
      <c r="A212" s="329">
        <f t="shared" si="33"/>
        <v>195</v>
      </c>
      <c r="B212" s="330">
        <f t="shared" si="27"/>
        <v>45017</v>
      </c>
      <c r="C212" s="332">
        <f t="shared" si="34"/>
        <v>528649.0341126202</v>
      </c>
      <c r="D212" s="332">
        <f t="shared" si="28"/>
        <v>8863.821186236893</v>
      </c>
      <c r="E212" s="333">
        <f t="shared" si="29"/>
        <v>0</v>
      </c>
      <c r="F212" s="332">
        <f t="shared" si="30"/>
        <v>8863.821186236893</v>
      </c>
      <c r="G212" s="332">
        <f t="shared" si="31"/>
        <v>6220.576015673792</v>
      </c>
      <c r="H212" s="332">
        <f t="shared" si="35"/>
        <v>2643.2451705631006</v>
      </c>
      <c r="I212" s="332">
        <f t="shared" si="32"/>
        <v>522428.45809694636</v>
      </c>
      <c r="J212" s="332">
        <f>SUM($H$18:$H212)</f>
        <v>950873.58941314</v>
      </c>
    </row>
    <row r="213" spans="1:10" ht="12.75">
      <c r="A213" s="329">
        <f t="shared" si="33"/>
        <v>196</v>
      </c>
      <c r="B213" s="330">
        <f t="shared" si="27"/>
        <v>45047</v>
      </c>
      <c r="C213" s="332">
        <f t="shared" si="34"/>
        <v>522428.45809694636</v>
      </c>
      <c r="D213" s="332">
        <f t="shared" si="28"/>
        <v>8863.821186236893</v>
      </c>
      <c r="E213" s="333">
        <f t="shared" si="29"/>
        <v>0</v>
      </c>
      <c r="F213" s="332">
        <f t="shared" si="30"/>
        <v>8863.821186236893</v>
      </c>
      <c r="G213" s="332">
        <f t="shared" si="31"/>
        <v>6251.678895752162</v>
      </c>
      <c r="H213" s="332">
        <f t="shared" si="35"/>
        <v>2612.142290484732</v>
      </c>
      <c r="I213" s="332">
        <f t="shared" si="32"/>
        <v>516176.7792011942</v>
      </c>
      <c r="J213" s="332">
        <f>SUM($H$18:$H213)</f>
        <v>953485.7317036247</v>
      </c>
    </row>
    <row r="214" spans="1:10" ht="12.75">
      <c r="A214" s="329">
        <f t="shared" si="33"/>
        <v>197</v>
      </c>
      <c r="B214" s="330">
        <f t="shared" si="27"/>
        <v>45078</v>
      </c>
      <c r="C214" s="332">
        <f t="shared" si="34"/>
        <v>516176.7792011942</v>
      </c>
      <c r="D214" s="332">
        <f t="shared" si="28"/>
        <v>8863.821186236893</v>
      </c>
      <c r="E214" s="333">
        <f t="shared" si="29"/>
        <v>0</v>
      </c>
      <c r="F214" s="332">
        <f t="shared" si="30"/>
        <v>8863.821186236893</v>
      </c>
      <c r="G214" s="332">
        <f t="shared" si="31"/>
        <v>6282.937290230922</v>
      </c>
      <c r="H214" s="332">
        <f t="shared" si="35"/>
        <v>2580.8838960059707</v>
      </c>
      <c r="I214" s="332">
        <f t="shared" si="32"/>
        <v>509893.84191096324</v>
      </c>
      <c r="J214" s="332">
        <f>SUM($H$18:$H214)</f>
        <v>956066.6155996306</v>
      </c>
    </row>
    <row r="215" spans="1:10" ht="12.75">
      <c r="A215" s="329">
        <f t="shared" si="33"/>
        <v>198</v>
      </c>
      <c r="B215" s="330">
        <f t="shared" si="27"/>
        <v>45108</v>
      </c>
      <c r="C215" s="332">
        <f t="shared" si="34"/>
        <v>509893.84191096324</v>
      </c>
      <c r="D215" s="332">
        <f t="shared" si="28"/>
        <v>8863.821186236893</v>
      </c>
      <c r="E215" s="333">
        <f t="shared" si="29"/>
        <v>0</v>
      </c>
      <c r="F215" s="332">
        <f t="shared" si="30"/>
        <v>8863.821186236893</v>
      </c>
      <c r="G215" s="332">
        <f t="shared" si="31"/>
        <v>6314.351976682077</v>
      </c>
      <c r="H215" s="332">
        <f t="shared" si="35"/>
        <v>2549.469209554816</v>
      </c>
      <c r="I215" s="332">
        <f t="shared" si="32"/>
        <v>503579.48993428116</v>
      </c>
      <c r="J215" s="332">
        <f>SUM($H$18:$H215)</f>
        <v>958616.0848091855</v>
      </c>
    </row>
    <row r="216" spans="1:10" ht="12.75">
      <c r="A216" s="329">
        <f t="shared" si="33"/>
        <v>199</v>
      </c>
      <c r="B216" s="330">
        <f t="shared" si="27"/>
        <v>45139</v>
      </c>
      <c r="C216" s="332">
        <f t="shared" si="34"/>
        <v>503579.48993428116</v>
      </c>
      <c r="D216" s="332">
        <f t="shared" si="28"/>
        <v>8863.821186236893</v>
      </c>
      <c r="E216" s="333">
        <f t="shared" si="29"/>
        <v>0</v>
      </c>
      <c r="F216" s="332">
        <f t="shared" si="30"/>
        <v>8863.821186236893</v>
      </c>
      <c r="G216" s="332">
        <f t="shared" si="31"/>
        <v>6345.923736565488</v>
      </c>
      <c r="H216" s="332">
        <f t="shared" si="35"/>
        <v>2517.897449671406</v>
      </c>
      <c r="I216" s="332">
        <f t="shared" si="32"/>
        <v>497233.56619771564</v>
      </c>
      <c r="J216" s="332">
        <f>SUM($H$18:$H216)</f>
        <v>961133.9822588569</v>
      </c>
    </row>
    <row r="217" spans="1:10" ht="12.75">
      <c r="A217" s="329">
        <f t="shared" si="33"/>
        <v>200</v>
      </c>
      <c r="B217" s="330">
        <f t="shared" si="27"/>
        <v>45170</v>
      </c>
      <c r="C217" s="332">
        <f t="shared" si="34"/>
        <v>497233.56619771564</v>
      </c>
      <c r="D217" s="332">
        <f t="shared" si="28"/>
        <v>8863.821186236893</v>
      </c>
      <c r="E217" s="333">
        <f t="shared" si="29"/>
        <v>0</v>
      </c>
      <c r="F217" s="332">
        <f t="shared" si="30"/>
        <v>8863.821186236893</v>
      </c>
      <c r="G217" s="332">
        <f t="shared" si="31"/>
        <v>6377.653355248316</v>
      </c>
      <c r="H217" s="332">
        <f t="shared" si="35"/>
        <v>2486.167830988578</v>
      </c>
      <c r="I217" s="332">
        <f t="shared" si="32"/>
        <v>490855.9128424673</v>
      </c>
      <c r="J217" s="332">
        <f>SUM($H$18:$H217)</f>
        <v>963620.1500898454</v>
      </c>
    </row>
    <row r="218" spans="1:10" ht="12.75">
      <c r="A218" s="329">
        <f t="shared" si="33"/>
        <v>201</v>
      </c>
      <c r="B218" s="330">
        <f t="shared" si="27"/>
        <v>45200</v>
      </c>
      <c r="C218" s="332">
        <f t="shared" si="34"/>
        <v>490855.9128424673</v>
      </c>
      <c r="D218" s="332">
        <f t="shared" si="28"/>
        <v>8863.821186236893</v>
      </c>
      <c r="E218" s="333">
        <f t="shared" si="29"/>
        <v>0</v>
      </c>
      <c r="F218" s="332">
        <f t="shared" si="30"/>
        <v>8863.821186236893</v>
      </c>
      <c r="G218" s="332">
        <f t="shared" si="31"/>
        <v>6409.541622024557</v>
      </c>
      <c r="H218" s="332">
        <f t="shared" si="35"/>
        <v>2454.2795642123365</v>
      </c>
      <c r="I218" s="332">
        <f t="shared" si="32"/>
        <v>484446.37122044276</v>
      </c>
      <c r="J218" s="332">
        <f>SUM($H$18:$H218)</f>
        <v>966074.4296540577</v>
      </c>
    </row>
    <row r="219" spans="1:10" ht="12.75">
      <c r="A219" s="329">
        <f t="shared" si="33"/>
        <v>202</v>
      </c>
      <c r="B219" s="330">
        <f t="shared" si="27"/>
        <v>45231</v>
      </c>
      <c r="C219" s="332">
        <f t="shared" si="34"/>
        <v>484446.37122044276</v>
      </c>
      <c r="D219" s="332">
        <f t="shared" si="28"/>
        <v>8863.821186236893</v>
      </c>
      <c r="E219" s="333">
        <f t="shared" si="29"/>
        <v>0</v>
      </c>
      <c r="F219" s="332">
        <f t="shared" si="30"/>
        <v>8863.821186236893</v>
      </c>
      <c r="G219" s="332">
        <f t="shared" si="31"/>
        <v>6441.5893301346805</v>
      </c>
      <c r="H219" s="332">
        <f t="shared" si="35"/>
        <v>2422.2318561022134</v>
      </c>
      <c r="I219" s="332">
        <f t="shared" si="32"/>
        <v>478004.7818903081</v>
      </c>
      <c r="J219" s="332">
        <f>SUM($H$18:$H219)</f>
        <v>968496.66151016</v>
      </c>
    </row>
    <row r="220" spans="1:10" ht="12.75">
      <c r="A220" s="329">
        <f t="shared" si="33"/>
        <v>203</v>
      </c>
      <c r="B220" s="330">
        <f t="shared" si="27"/>
        <v>45261</v>
      </c>
      <c r="C220" s="332">
        <f t="shared" si="34"/>
        <v>478004.7818903081</v>
      </c>
      <c r="D220" s="332">
        <f t="shared" si="28"/>
        <v>8863.821186236893</v>
      </c>
      <c r="E220" s="333">
        <f t="shared" si="29"/>
        <v>0</v>
      </c>
      <c r="F220" s="332">
        <f t="shared" si="30"/>
        <v>8863.821186236893</v>
      </c>
      <c r="G220" s="332">
        <f t="shared" si="31"/>
        <v>6473.7972767853535</v>
      </c>
      <c r="H220" s="332">
        <f t="shared" si="35"/>
        <v>2390.0239094515405</v>
      </c>
      <c r="I220" s="332">
        <f t="shared" si="32"/>
        <v>471530.9846135227</v>
      </c>
      <c r="J220" s="332">
        <f>SUM($H$18:$H220)</f>
        <v>970886.6854196115</v>
      </c>
    </row>
    <row r="221" spans="1:10" ht="12.75">
      <c r="A221" s="329">
        <f t="shared" si="33"/>
        <v>204</v>
      </c>
      <c r="B221" s="330">
        <f t="shared" si="27"/>
        <v>45292</v>
      </c>
      <c r="C221" s="332">
        <f t="shared" si="34"/>
        <v>471530.9846135227</v>
      </c>
      <c r="D221" s="332">
        <f t="shared" si="28"/>
        <v>8863.821186236893</v>
      </c>
      <c r="E221" s="333">
        <f t="shared" si="29"/>
        <v>0</v>
      </c>
      <c r="F221" s="332">
        <f t="shared" si="30"/>
        <v>8863.821186236893</v>
      </c>
      <c r="G221" s="332">
        <f t="shared" si="31"/>
        <v>6506.16626316928</v>
      </c>
      <c r="H221" s="332">
        <f t="shared" si="35"/>
        <v>2357.6549230676133</v>
      </c>
      <c r="I221" s="332">
        <f t="shared" si="32"/>
        <v>465024.81835035345</v>
      </c>
      <c r="J221" s="332">
        <f>SUM($H$18:$H221)</f>
        <v>973244.3403426792</v>
      </c>
    </row>
    <row r="222" spans="1:10" ht="12.75">
      <c r="A222" s="329">
        <f t="shared" si="33"/>
        <v>205</v>
      </c>
      <c r="B222" s="330">
        <f t="shared" si="27"/>
        <v>45323</v>
      </c>
      <c r="C222" s="332">
        <f t="shared" si="34"/>
        <v>465024.81835035345</v>
      </c>
      <c r="D222" s="332">
        <f t="shared" si="28"/>
        <v>8863.821186236893</v>
      </c>
      <c r="E222" s="333">
        <f t="shared" si="29"/>
        <v>0</v>
      </c>
      <c r="F222" s="332">
        <f t="shared" si="30"/>
        <v>8863.821186236893</v>
      </c>
      <c r="G222" s="332">
        <f t="shared" si="31"/>
        <v>6538.697094485126</v>
      </c>
      <c r="H222" s="332">
        <f t="shared" si="35"/>
        <v>2325.124091751767</v>
      </c>
      <c r="I222" s="332">
        <f t="shared" si="32"/>
        <v>458486.12125586835</v>
      </c>
      <c r="J222" s="332">
        <f>SUM($H$18:$H222)</f>
        <v>975569.4644344309</v>
      </c>
    </row>
    <row r="223" spans="1:10" ht="12.75">
      <c r="A223" s="329">
        <f t="shared" si="33"/>
        <v>206</v>
      </c>
      <c r="B223" s="330">
        <f t="shared" si="27"/>
        <v>45352</v>
      </c>
      <c r="C223" s="332">
        <f t="shared" si="34"/>
        <v>458486.12125586835</v>
      </c>
      <c r="D223" s="332">
        <f t="shared" si="28"/>
        <v>8863.821186236893</v>
      </c>
      <c r="E223" s="333">
        <f t="shared" si="29"/>
        <v>0</v>
      </c>
      <c r="F223" s="332">
        <f t="shared" si="30"/>
        <v>8863.821186236893</v>
      </c>
      <c r="G223" s="332">
        <f t="shared" si="31"/>
        <v>6571.390579957551</v>
      </c>
      <c r="H223" s="332">
        <f t="shared" si="35"/>
        <v>2292.4306062793416</v>
      </c>
      <c r="I223" s="332">
        <f t="shared" si="32"/>
        <v>451914.7306759108</v>
      </c>
      <c r="J223" s="332">
        <f>SUM($H$18:$H223)</f>
        <v>977861.8950407102</v>
      </c>
    </row>
    <row r="224" spans="1:10" ht="12.75">
      <c r="A224" s="329">
        <f t="shared" si="33"/>
        <v>207</v>
      </c>
      <c r="B224" s="330">
        <f t="shared" si="27"/>
        <v>45383</v>
      </c>
      <c r="C224" s="332">
        <f t="shared" si="34"/>
        <v>451914.7306759108</v>
      </c>
      <c r="D224" s="332">
        <f t="shared" si="28"/>
        <v>8863.821186236893</v>
      </c>
      <c r="E224" s="333">
        <f t="shared" si="29"/>
        <v>0</v>
      </c>
      <c r="F224" s="332">
        <f t="shared" si="30"/>
        <v>8863.821186236893</v>
      </c>
      <c r="G224" s="332">
        <f t="shared" si="31"/>
        <v>6604.24753285734</v>
      </c>
      <c r="H224" s="332">
        <f t="shared" si="35"/>
        <v>2259.573653379554</v>
      </c>
      <c r="I224" s="332">
        <f t="shared" si="32"/>
        <v>445310.4831430534</v>
      </c>
      <c r="J224" s="332">
        <f>SUM($H$18:$H224)</f>
        <v>980121.4686940898</v>
      </c>
    </row>
    <row r="225" spans="1:10" ht="12.75">
      <c r="A225" s="329">
        <f t="shared" si="33"/>
        <v>208</v>
      </c>
      <c r="B225" s="330">
        <f t="shared" si="27"/>
        <v>45413</v>
      </c>
      <c r="C225" s="332">
        <f t="shared" si="34"/>
        <v>445310.4831430534</v>
      </c>
      <c r="D225" s="332">
        <f t="shared" si="28"/>
        <v>8863.821186236893</v>
      </c>
      <c r="E225" s="333">
        <f t="shared" si="29"/>
        <v>0</v>
      </c>
      <c r="F225" s="332">
        <f t="shared" si="30"/>
        <v>8863.821186236893</v>
      </c>
      <c r="G225" s="332">
        <f t="shared" si="31"/>
        <v>6637.268770521627</v>
      </c>
      <c r="H225" s="332">
        <f t="shared" si="35"/>
        <v>2226.552415715267</v>
      </c>
      <c r="I225" s="332">
        <f t="shared" si="32"/>
        <v>438673.2143725318</v>
      </c>
      <c r="J225" s="332">
        <f>SUM($H$18:$H225)</f>
        <v>982348.0211098051</v>
      </c>
    </row>
    <row r="226" spans="1:10" ht="12.75">
      <c r="A226" s="329">
        <f t="shared" si="33"/>
        <v>209</v>
      </c>
      <c r="B226" s="330">
        <f t="shared" si="27"/>
        <v>45444</v>
      </c>
      <c r="C226" s="332">
        <f t="shared" si="34"/>
        <v>438673.2143725318</v>
      </c>
      <c r="D226" s="332">
        <f t="shared" si="28"/>
        <v>8863.821186236893</v>
      </c>
      <c r="E226" s="333">
        <f t="shared" si="29"/>
        <v>0</v>
      </c>
      <c r="F226" s="332">
        <f t="shared" si="30"/>
        <v>8863.821186236893</v>
      </c>
      <c r="G226" s="332">
        <f t="shared" si="31"/>
        <v>6670.455114374235</v>
      </c>
      <c r="H226" s="332">
        <f t="shared" si="35"/>
        <v>2193.366071862659</v>
      </c>
      <c r="I226" s="332">
        <f t="shared" si="32"/>
        <v>432002.7592581576</v>
      </c>
      <c r="J226" s="332">
        <f>SUM($H$18:$H226)</f>
        <v>984541.3871816677</v>
      </c>
    </row>
    <row r="227" spans="1:10" ht="12.75">
      <c r="A227" s="329">
        <f t="shared" si="33"/>
        <v>210</v>
      </c>
      <c r="B227" s="330">
        <f t="shared" si="27"/>
        <v>45474</v>
      </c>
      <c r="C227" s="332">
        <f t="shared" si="34"/>
        <v>432002.7592581576</v>
      </c>
      <c r="D227" s="332">
        <f t="shared" si="28"/>
        <v>8863.821186236893</v>
      </c>
      <c r="E227" s="333">
        <f t="shared" si="29"/>
        <v>0</v>
      </c>
      <c r="F227" s="332">
        <f t="shared" si="30"/>
        <v>8863.821186236893</v>
      </c>
      <c r="G227" s="332">
        <f t="shared" si="31"/>
        <v>6703.807389946105</v>
      </c>
      <c r="H227" s="332">
        <f t="shared" si="35"/>
        <v>2160.013796290788</v>
      </c>
      <c r="I227" s="332">
        <f t="shared" si="32"/>
        <v>425298.95186821144</v>
      </c>
      <c r="J227" s="332">
        <f>SUM($H$18:$H227)</f>
        <v>986701.4009779585</v>
      </c>
    </row>
    <row r="228" spans="1:10" ht="12.75">
      <c r="A228" s="329">
        <f t="shared" si="33"/>
        <v>211</v>
      </c>
      <c r="B228" s="330">
        <f t="shared" si="27"/>
        <v>45505</v>
      </c>
      <c r="C228" s="332">
        <f t="shared" si="34"/>
        <v>425298.95186821144</v>
      </c>
      <c r="D228" s="332">
        <f t="shared" si="28"/>
        <v>8863.821186236893</v>
      </c>
      <c r="E228" s="333">
        <f t="shared" si="29"/>
        <v>0</v>
      </c>
      <c r="F228" s="332">
        <f t="shared" si="30"/>
        <v>8863.821186236893</v>
      </c>
      <c r="G228" s="332">
        <f t="shared" si="31"/>
        <v>6737.326426895836</v>
      </c>
      <c r="H228" s="332">
        <f t="shared" si="35"/>
        <v>2126.494759341057</v>
      </c>
      <c r="I228" s="332">
        <f t="shared" si="32"/>
        <v>418561.6254413156</v>
      </c>
      <c r="J228" s="332">
        <f>SUM($H$18:$H228)</f>
        <v>988827.8957372995</v>
      </c>
    </row>
    <row r="229" spans="1:10" ht="12.75">
      <c r="A229" s="329">
        <f t="shared" si="33"/>
        <v>212</v>
      </c>
      <c r="B229" s="330">
        <f t="shared" si="27"/>
        <v>45536</v>
      </c>
      <c r="C229" s="332">
        <f t="shared" si="34"/>
        <v>418561.6254413156</v>
      </c>
      <c r="D229" s="332">
        <f t="shared" si="28"/>
        <v>8863.821186236893</v>
      </c>
      <c r="E229" s="333">
        <f t="shared" si="29"/>
        <v>0</v>
      </c>
      <c r="F229" s="332">
        <f t="shared" si="30"/>
        <v>8863.821186236893</v>
      </c>
      <c r="G229" s="332">
        <f t="shared" si="31"/>
        <v>6771.013059030316</v>
      </c>
      <c r="H229" s="332">
        <f t="shared" si="35"/>
        <v>2092.808127206578</v>
      </c>
      <c r="I229" s="332">
        <f t="shared" si="32"/>
        <v>411790.6123822853</v>
      </c>
      <c r="J229" s="332">
        <f>SUM($H$18:$H229)</f>
        <v>990920.7038645061</v>
      </c>
    </row>
    <row r="230" spans="1:10" ht="12.75">
      <c r="A230" s="329">
        <f t="shared" si="33"/>
        <v>213</v>
      </c>
      <c r="B230" s="330">
        <f t="shared" si="27"/>
        <v>45566</v>
      </c>
      <c r="C230" s="332">
        <f t="shared" si="34"/>
        <v>411790.6123822853</v>
      </c>
      <c r="D230" s="332">
        <f t="shared" si="28"/>
        <v>8863.821186236893</v>
      </c>
      <c r="E230" s="333">
        <f t="shared" si="29"/>
        <v>0</v>
      </c>
      <c r="F230" s="332">
        <f t="shared" si="30"/>
        <v>8863.821186236893</v>
      </c>
      <c r="G230" s="332">
        <f t="shared" si="31"/>
        <v>6804.868124325467</v>
      </c>
      <c r="H230" s="332">
        <f t="shared" si="35"/>
        <v>2058.953061911426</v>
      </c>
      <c r="I230" s="332">
        <f t="shared" si="32"/>
        <v>404985.7442579598</v>
      </c>
      <c r="J230" s="332">
        <f>SUM($H$18:$H230)</f>
        <v>992979.6569264175</v>
      </c>
    </row>
    <row r="231" spans="1:10" ht="12.75">
      <c r="A231" s="329">
        <f t="shared" si="33"/>
        <v>214</v>
      </c>
      <c r="B231" s="330">
        <f t="shared" si="27"/>
        <v>45597</v>
      </c>
      <c r="C231" s="332">
        <f t="shared" si="34"/>
        <v>404985.7442579598</v>
      </c>
      <c r="D231" s="332">
        <f t="shared" si="28"/>
        <v>8863.821186236893</v>
      </c>
      <c r="E231" s="333">
        <f t="shared" si="29"/>
        <v>0</v>
      </c>
      <c r="F231" s="332">
        <f t="shared" si="30"/>
        <v>8863.821186236893</v>
      </c>
      <c r="G231" s="332">
        <f t="shared" si="31"/>
        <v>6838.892464947095</v>
      </c>
      <c r="H231" s="332">
        <f t="shared" si="35"/>
        <v>2024.9287212897991</v>
      </c>
      <c r="I231" s="332">
        <f t="shared" si="32"/>
        <v>398146.85179301276</v>
      </c>
      <c r="J231" s="332">
        <f>SUM($H$18:$H231)</f>
        <v>995004.5856477073</v>
      </c>
    </row>
    <row r="232" spans="1:10" ht="12.75">
      <c r="A232" s="329">
        <f t="shared" si="33"/>
        <v>215</v>
      </c>
      <c r="B232" s="330">
        <f t="shared" si="27"/>
        <v>45627</v>
      </c>
      <c r="C232" s="332">
        <f t="shared" si="34"/>
        <v>398146.85179301276</v>
      </c>
      <c r="D232" s="332">
        <f t="shared" si="28"/>
        <v>8863.821186236893</v>
      </c>
      <c r="E232" s="333">
        <f t="shared" si="29"/>
        <v>0</v>
      </c>
      <c r="F232" s="332">
        <f t="shared" si="30"/>
        <v>8863.821186236893</v>
      </c>
      <c r="G232" s="332">
        <f t="shared" si="31"/>
        <v>6873.08692727183</v>
      </c>
      <c r="H232" s="332">
        <f t="shared" si="35"/>
        <v>1990.7342589650636</v>
      </c>
      <c r="I232" s="332">
        <f t="shared" si="32"/>
        <v>391273.7648657409</v>
      </c>
      <c r="J232" s="332">
        <f>SUM($H$18:$H232)</f>
        <v>996995.3199066723</v>
      </c>
    </row>
    <row r="233" spans="1:10" ht="12.75">
      <c r="A233" s="329">
        <f t="shared" si="33"/>
        <v>216</v>
      </c>
      <c r="B233" s="330">
        <f t="shared" si="27"/>
        <v>45658</v>
      </c>
      <c r="C233" s="332">
        <f t="shared" si="34"/>
        <v>391273.7648657409</v>
      </c>
      <c r="D233" s="332">
        <f t="shared" si="28"/>
        <v>8863.821186236893</v>
      </c>
      <c r="E233" s="333">
        <f t="shared" si="29"/>
        <v>0</v>
      </c>
      <c r="F233" s="332">
        <f t="shared" si="30"/>
        <v>8863.821186236893</v>
      </c>
      <c r="G233" s="332">
        <f t="shared" si="31"/>
        <v>6907.452361908189</v>
      </c>
      <c r="H233" s="332">
        <f t="shared" si="35"/>
        <v>1956.3688243287045</v>
      </c>
      <c r="I233" s="332">
        <f t="shared" si="32"/>
        <v>384366.3125038327</v>
      </c>
      <c r="J233" s="332">
        <f>SUM($H$18:$H233)</f>
        <v>998951.6887310011</v>
      </c>
    </row>
    <row r="234" spans="1:10" ht="12.75">
      <c r="A234" s="329">
        <f t="shared" si="33"/>
        <v>217</v>
      </c>
      <c r="B234" s="330">
        <f t="shared" si="27"/>
        <v>45689</v>
      </c>
      <c r="C234" s="332">
        <f t="shared" si="34"/>
        <v>384366.3125038327</v>
      </c>
      <c r="D234" s="332">
        <f t="shared" si="28"/>
        <v>8863.821186236893</v>
      </c>
      <c r="E234" s="333">
        <f t="shared" si="29"/>
        <v>0</v>
      </c>
      <c r="F234" s="332">
        <f t="shared" si="30"/>
        <v>8863.821186236893</v>
      </c>
      <c r="G234" s="332">
        <f t="shared" si="31"/>
        <v>6941.98962371773</v>
      </c>
      <c r="H234" s="332">
        <f t="shared" si="35"/>
        <v>1921.8315625191633</v>
      </c>
      <c r="I234" s="332">
        <f t="shared" si="32"/>
        <v>377424.32288011495</v>
      </c>
      <c r="J234" s="332">
        <f>SUM($H$18:$H234)</f>
        <v>1000873.5202935203</v>
      </c>
    </row>
    <row r="235" spans="1:10" ht="12.75">
      <c r="A235" s="329">
        <f t="shared" si="33"/>
        <v>218</v>
      </c>
      <c r="B235" s="330">
        <f t="shared" si="27"/>
        <v>45717</v>
      </c>
      <c r="C235" s="332">
        <f t="shared" si="34"/>
        <v>377424.32288011495</v>
      </c>
      <c r="D235" s="332">
        <f t="shared" si="28"/>
        <v>8863.821186236893</v>
      </c>
      <c r="E235" s="333">
        <f t="shared" si="29"/>
        <v>0</v>
      </c>
      <c r="F235" s="332">
        <f t="shared" si="30"/>
        <v>8863.821186236893</v>
      </c>
      <c r="G235" s="332">
        <f t="shared" si="31"/>
        <v>6976.699571836319</v>
      </c>
      <c r="H235" s="332">
        <f t="shared" si="35"/>
        <v>1887.1216144005748</v>
      </c>
      <c r="I235" s="332">
        <f t="shared" si="32"/>
        <v>370447.6233082786</v>
      </c>
      <c r="J235" s="332">
        <f>SUM($H$18:$H235)</f>
        <v>1002760.6419079208</v>
      </c>
    </row>
    <row r="236" spans="1:10" ht="12.75">
      <c r="A236" s="329">
        <f t="shared" si="33"/>
        <v>219</v>
      </c>
      <c r="B236" s="330">
        <f t="shared" si="27"/>
        <v>45748</v>
      </c>
      <c r="C236" s="332">
        <f t="shared" si="34"/>
        <v>370447.6233082786</v>
      </c>
      <c r="D236" s="332">
        <f t="shared" si="28"/>
        <v>8863.821186236893</v>
      </c>
      <c r="E236" s="333">
        <f t="shared" si="29"/>
        <v>0</v>
      </c>
      <c r="F236" s="332">
        <f t="shared" si="30"/>
        <v>8863.821186236893</v>
      </c>
      <c r="G236" s="332">
        <f t="shared" si="31"/>
        <v>7011.583069695501</v>
      </c>
      <c r="H236" s="332">
        <f t="shared" si="35"/>
        <v>1852.2381165413929</v>
      </c>
      <c r="I236" s="332">
        <f t="shared" si="32"/>
        <v>363436.0402385831</v>
      </c>
      <c r="J236" s="332">
        <f>SUM($H$18:$H236)</f>
        <v>1004612.8800244622</v>
      </c>
    </row>
    <row r="237" spans="1:10" ht="12.75">
      <c r="A237" s="329">
        <f t="shared" si="33"/>
        <v>220</v>
      </c>
      <c r="B237" s="330">
        <f t="shared" si="27"/>
        <v>45778</v>
      </c>
      <c r="C237" s="332">
        <f t="shared" si="34"/>
        <v>363436.0402385831</v>
      </c>
      <c r="D237" s="332">
        <f t="shared" si="28"/>
        <v>8863.821186236893</v>
      </c>
      <c r="E237" s="333">
        <f t="shared" si="29"/>
        <v>0</v>
      </c>
      <c r="F237" s="332">
        <f t="shared" si="30"/>
        <v>8863.821186236893</v>
      </c>
      <c r="G237" s="332">
        <f t="shared" si="31"/>
        <v>7046.640985043978</v>
      </c>
      <c r="H237" s="332">
        <f t="shared" si="35"/>
        <v>1817.1802011929155</v>
      </c>
      <c r="I237" s="332">
        <f t="shared" si="32"/>
        <v>356389.39925353916</v>
      </c>
      <c r="J237" s="332">
        <f>SUM($H$18:$H237)</f>
        <v>1006430.0602256552</v>
      </c>
    </row>
    <row r="238" spans="1:10" ht="12.75">
      <c r="A238" s="329">
        <f t="shared" si="33"/>
        <v>221</v>
      </c>
      <c r="B238" s="330">
        <f t="shared" si="27"/>
        <v>45809</v>
      </c>
      <c r="C238" s="332">
        <f t="shared" si="34"/>
        <v>356389.39925353916</v>
      </c>
      <c r="D238" s="332">
        <f t="shared" si="28"/>
        <v>8863.821186236893</v>
      </c>
      <c r="E238" s="333">
        <f t="shared" si="29"/>
        <v>0</v>
      </c>
      <c r="F238" s="332">
        <f t="shared" si="30"/>
        <v>8863.821186236893</v>
      </c>
      <c r="G238" s="332">
        <f t="shared" si="31"/>
        <v>7081.874189969198</v>
      </c>
      <c r="H238" s="332">
        <f t="shared" si="35"/>
        <v>1781.9469962676958</v>
      </c>
      <c r="I238" s="332">
        <f t="shared" si="32"/>
        <v>349307.52506356995</v>
      </c>
      <c r="J238" s="332">
        <f>SUM($H$18:$H238)</f>
        <v>1008212.0072219229</v>
      </c>
    </row>
    <row r="239" spans="1:10" ht="12.75">
      <c r="A239" s="329">
        <f t="shared" si="33"/>
        <v>222</v>
      </c>
      <c r="B239" s="330">
        <f t="shared" si="27"/>
        <v>45839</v>
      </c>
      <c r="C239" s="332">
        <f t="shared" si="34"/>
        <v>349307.52506356995</v>
      </c>
      <c r="D239" s="332">
        <f t="shared" si="28"/>
        <v>8863.821186236893</v>
      </c>
      <c r="E239" s="333">
        <f t="shared" si="29"/>
        <v>0</v>
      </c>
      <c r="F239" s="332">
        <f t="shared" si="30"/>
        <v>8863.821186236893</v>
      </c>
      <c r="G239" s="332">
        <f t="shared" si="31"/>
        <v>7117.283560919044</v>
      </c>
      <c r="H239" s="332">
        <f t="shared" si="35"/>
        <v>1746.5376253178495</v>
      </c>
      <c r="I239" s="332">
        <f t="shared" si="32"/>
        <v>342190.2415026509</v>
      </c>
      <c r="J239" s="332">
        <f>SUM($H$18:$H239)</f>
        <v>1009958.5448472407</v>
      </c>
    </row>
    <row r="240" spans="1:10" ht="12.75">
      <c r="A240" s="329">
        <f t="shared" si="33"/>
        <v>223</v>
      </c>
      <c r="B240" s="330">
        <f t="shared" si="27"/>
        <v>45870</v>
      </c>
      <c r="C240" s="332">
        <f t="shared" si="34"/>
        <v>342190.2415026509</v>
      </c>
      <c r="D240" s="332">
        <f t="shared" si="28"/>
        <v>8863.821186236893</v>
      </c>
      <c r="E240" s="333">
        <f t="shared" si="29"/>
        <v>0</v>
      </c>
      <c r="F240" s="332">
        <f t="shared" si="30"/>
        <v>8863.821186236893</v>
      </c>
      <c r="G240" s="332">
        <f t="shared" si="31"/>
        <v>7152.869978723639</v>
      </c>
      <c r="H240" s="332">
        <f t="shared" si="35"/>
        <v>1710.9512075132543</v>
      </c>
      <c r="I240" s="332">
        <f t="shared" si="32"/>
        <v>335037.37152392726</v>
      </c>
      <c r="J240" s="332">
        <f>SUM($H$18:$H240)</f>
        <v>1011669.4960547539</v>
      </c>
    </row>
    <row r="241" spans="1:10" ht="12.75">
      <c r="A241" s="329">
        <f t="shared" si="33"/>
        <v>224</v>
      </c>
      <c r="B241" s="330">
        <f t="shared" si="27"/>
        <v>45901</v>
      </c>
      <c r="C241" s="332">
        <f t="shared" si="34"/>
        <v>335037.37152392726</v>
      </c>
      <c r="D241" s="332">
        <f t="shared" si="28"/>
        <v>8863.821186236893</v>
      </c>
      <c r="E241" s="333">
        <f t="shared" si="29"/>
        <v>0</v>
      </c>
      <c r="F241" s="332">
        <f t="shared" si="30"/>
        <v>8863.821186236893</v>
      </c>
      <c r="G241" s="332">
        <f t="shared" si="31"/>
        <v>7188.634328617257</v>
      </c>
      <c r="H241" s="332">
        <f t="shared" si="35"/>
        <v>1675.1868576196364</v>
      </c>
      <c r="I241" s="332">
        <f t="shared" si="32"/>
        <v>327848.73719531</v>
      </c>
      <c r="J241" s="332">
        <f>SUM($H$18:$H241)</f>
        <v>1013344.6829123736</v>
      </c>
    </row>
    <row r="242" spans="1:10" ht="12.75">
      <c r="A242" s="329">
        <f t="shared" si="33"/>
        <v>225</v>
      </c>
      <c r="B242" s="330">
        <f t="shared" si="27"/>
        <v>45931</v>
      </c>
      <c r="C242" s="332">
        <f t="shared" si="34"/>
        <v>327848.73719531</v>
      </c>
      <c r="D242" s="332">
        <f t="shared" si="28"/>
        <v>8863.821186236893</v>
      </c>
      <c r="E242" s="333">
        <f t="shared" si="29"/>
        <v>0</v>
      </c>
      <c r="F242" s="332">
        <f t="shared" si="30"/>
        <v>8863.821186236893</v>
      </c>
      <c r="G242" s="332">
        <f t="shared" si="31"/>
        <v>7224.577500260343</v>
      </c>
      <c r="H242" s="332">
        <f t="shared" si="35"/>
        <v>1639.24368597655</v>
      </c>
      <c r="I242" s="332">
        <f t="shared" si="32"/>
        <v>320624.1596950497</v>
      </c>
      <c r="J242" s="332">
        <f>SUM($H$18:$H242)</f>
        <v>1014983.9265983502</v>
      </c>
    </row>
    <row r="243" spans="1:10" ht="12.75">
      <c r="A243" s="329">
        <f t="shared" si="33"/>
        <v>226</v>
      </c>
      <c r="B243" s="330">
        <f t="shared" si="27"/>
        <v>45962</v>
      </c>
      <c r="C243" s="332">
        <f t="shared" si="34"/>
        <v>320624.1596950497</v>
      </c>
      <c r="D243" s="332">
        <f t="shared" si="28"/>
        <v>8863.821186236893</v>
      </c>
      <c r="E243" s="333">
        <f t="shared" si="29"/>
        <v>0</v>
      </c>
      <c r="F243" s="332">
        <f t="shared" si="30"/>
        <v>8863.821186236893</v>
      </c>
      <c r="G243" s="332">
        <f t="shared" si="31"/>
        <v>7260.700387761645</v>
      </c>
      <c r="H243" s="332">
        <f t="shared" si="35"/>
        <v>1603.1207984752484</v>
      </c>
      <c r="I243" s="332">
        <f t="shared" si="32"/>
        <v>313363.45930728805</v>
      </c>
      <c r="J243" s="332">
        <f>SUM($H$18:$H243)</f>
        <v>1016587.0473968254</v>
      </c>
    </row>
    <row r="244" spans="1:10" ht="12.75">
      <c r="A244" s="329">
        <f t="shared" si="33"/>
        <v>227</v>
      </c>
      <c r="B244" s="330">
        <f t="shared" si="27"/>
        <v>45992</v>
      </c>
      <c r="C244" s="332">
        <f t="shared" si="34"/>
        <v>313363.45930728805</v>
      </c>
      <c r="D244" s="332">
        <f t="shared" si="28"/>
        <v>8863.821186236893</v>
      </c>
      <c r="E244" s="333">
        <f t="shared" si="29"/>
        <v>0</v>
      </c>
      <c r="F244" s="332">
        <f t="shared" si="30"/>
        <v>8863.821186236893</v>
      </c>
      <c r="G244" s="332">
        <f t="shared" si="31"/>
        <v>7297.003889700453</v>
      </c>
      <c r="H244" s="332">
        <f t="shared" si="35"/>
        <v>1566.8172965364402</v>
      </c>
      <c r="I244" s="332">
        <f t="shared" si="32"/>
        <v>306066.4554175876</v>
      </c>
      <c r="J244" s="332">
        <f>SUM($H$18:$H244)</f>
        <v>1018153.8646933618</v>
      </c>
    </row>
    <row r="245" spans="1:10" ht="12.75">
      <c r="A245" s="329">
        <f t="shared" si="33"/>
        <v>228</v>
      </c>
      <c r="B245" s="330">
        <f t="shared" si="27"/>
        <v>46023</v>
      </c>
      <c r="C245" s="332">
        <f t="shared" si="34"/>
        <v>306066.4554175876</v>
      </c>
      <c r="D245" s="332">
        <f t="shared" si="28"/>
        <v>8863.821186236893</v>
      </c>
      <c r="E245" s="333">
        <f t="shared" si="29"/>
        <v>0</v>
      </c>
      <c r="F245" s="332">
        <f t="shared" si="30"/>
        <v>8863.821186236893</v>
      </c>
      <c r="G245" s="332">
        <f t="shared" si="31"/>
        <v>7333.488909148956</v>
      </c>
      <c r="H245" s="332">
        <f t="shared" si="35"/>
        <v>1530.3322770879379</v>
      </c>
      <c r="I245" s="332">
        <f t="shared" si="32"/>
        <v>298732.96650843864</v>
      </c>
      <c r="J245" s="332">
        <f>SUM($H$18:$H245)</f>
        <v>1019684.1969704498</v>
      </c>
    </row>
    <row r="246" spans="1:10" ht="12.75">
      <c r="A246" s="329">
        <f t="shared" si="33"/>
        <v>229</v>
      </c>
      <c r="B246" s="330">
        <f t="shared" si="27"/>
        <v>46054</v>
      </c>
      <c r="C246" s="332">
        <f t="shared" si="34"/>
        <v>298732.96650843864</v>
      </c>
      <c r="D246" s="332">
        <f t="shared" si="28"/>
        <v>8863.821186236893</v>
      </c>
      <c r="E246" s="333">
        <f t="shared" si="29"/>
        <v>0</v>
      </c>
      <c r="F246" s="332">
        <f t="shared" si="30"/>
        <v>8863.821186236893</v>
      </c>
      <c r="G246" s="332">
        <f t="shared" si="31"/>
        <v>7370.156353694701</v>
      </c>
      <c r="H246" s="332">
        <f t="shared" si="35"/>
        <v>1493.6648325421932</v>
      </c>
      <c r="I246" s="332">
        <f t="shared" si="32"/>
        <v>291362.81015474396</v>
      </c>
      <c r="J246" s="332">
        <f>SUM($H$18:$H246)</f>
        <v>1021177.861802992</v>
      </c>
    </row>
    <row r="247" spans="1:10" ht="12.75">
      <c r="A247" s="329">
        <f t="shared" si="33"/>
        <v>230</v>
      </c>
      <c r="B247" s="330">
        <f t="shared" si="27"/>
        <v>46082</v>
      </c>
      <c r="C247" s="332">
        <f t="shared" si="34"/>
        <v>291362.81015474396</v>
      </c>
      <c r="D247" s="332">
        <f t="shared" si="28"/>
        <v>8863.821186236893</v>
      </c>
      <c r="E247" s="333">
        <f t="shared" si="29"/>
        <v>0</v>
      </c>
      <c r="F247" s="332">
        <f t="shared" si="30"/>
        <v>8863.821186236893</v>
      </c>
      <c r="G247" s="332">
        <f t="shared" si="31"/>
        <v>7407.007135463174</v>
      </c>
      <c r="H247" s="332">
        <f t="shared" si="35"/>
        <v>1456.8140507737198</v>
      </c>
      <c r="I247" s="332">
        <f t="shared" si="32"/>
        <v>283955.8030192808</v>
      </c>
      <c r="J247" s="332">
        <f>SUM($H$18:$H247)</f>
        <v>1022634.6758537657</v>
      </c>
    </row>
    <row r="248" spans="1:10" ht="12.75">
      <c r="A248" s="329">
        <f t="shared" si="33"/>
        <v>231</v>
      </c>
      <c r="B248" s="330">
        <f t="shared" si="27"/>
        <v>46113</v>
      </c>
      <c r="C248" s="332">
        <f t="shared" si="34"/>
        <v>283955.8030192808</v>
      </c>
      <c r="D248" s="332">
        <f t="shared" si="28"/>
        <v>8863.821186236893</v>
      </c>
      <c r="E248" s="333">
        <f t="shared" si="29"/>
        <v>0</v>
      </c>
      <c r="F248" s="332">
        <f t="shared" si="30"/>
        <v>8863.821186236893</v>
      </c>
      <c r="G248" s="332">
        <f t="shared" si="31"/>
        <v>7444.04217114049</v>
      </c>
      <c r="H248" s="332">
        <f t="shared" si="35"/>
        <v>1419.7790150964038</v>
      </c>
      <c r="I248" s="332">
        <f t="shared" si="32"/>
        <v>276511.7608481403</v>
      </c>
      <c r="J248" s="332">
        <f>SUM($H$18:$H248)</f>
        <v>1024054.454868862</v>
      </c>
    </row>
    <row r="249" spans="1:10" ht="12.75">
      <c r="A249" s="329">
        <f t="shared" si="33"/>
        <v>232</v>
      </c>
      <c r="B249" s="330">
        <f t="shared" si="27"/>
        <v>46143</v>
      </c>
      <c r="C249" s="332">
        <f t="shared" si="34"/>
        <v>276511.7608481403</v>
      </c>
      <c r="D249" s="332">
        <f t="shared" si="28"/>
        <v>8863.821186236893</v>
      </c>
      <c r="E249" s="333">
        <f t="shared" si="29"/>
        <v>0</v>
      </c>
      <c r="F249" s="332">
        <f t="shared" si="30"/>
        <v>8863.821186236893</v>
      </c>
      <c r="G249" s="332">
        <f t="shared" si="31"/>
        <v>7481.262381996192</v>
      </c>
      <c r="H249" s="332">
        <f t="shared" si="35"/>
        <v>1382.5588042407014</v>
      </c>
      <c r="I249" s="332">
        <f t="shared" si="32"/>
        <v>269030.4984661441</v>
      </c>
      <c r="J249" s="332">
        <f>SUM($H$18:$H249)</f>
        <v>1025437.0136731027</v>
      </c>
    </row>
    <row r="250" spans="1:10" ht="12.75">
      <c r="A250" s="329">
        <f t="shared" si="33"/>
        <v>233</v>
      </c>
      <c r="B250" s="330">
        <f t="shared" si="27"/>
        <v>46174</v>
      </c>
      <c r="C250" s="332">
        <f t="shared" si="34"/>
        <v>269030.4984661441</v>
      </c>
      <c r="D250" s="332">
        <f t="shared" si="28"/>
        <v>8863.821186236893</v>
      </c>
      <c r="E250" s="333">
        <f t="shared" si="29"/>
        <v>0</v>
      </c>
      <c r="F250" s="332">
        <f t="shared" si="30"/>
        <v>8863.821186236893</v>
      </c>
      <c r="G250" s="332">
        <f t="shared" si="31"/>
        <v>7518.668693906173</v>
      </c>
      <c r="H250" s="332">
        <f t="shared" si="35"/>
        <v>1345.1524923307204</v>
      </c>
      <c r="I250" s="332">
        <f t="shared" si="32"/>
        <v>261511.82977223792</v>
      </c>
      <c r="J250" s="332">
        <f>SUM($H$18:$H250)</f>
        <v>1026782.1661654335</v>
      </c>
    </row>
    <row r="251" spans="1:10" ht="12.75">
      <c r="A251" s="329">
        <f t="shared" si="33"/>
        <v>234</v>
      </c>
      <c r="B251" s="330">
        <f t="shared" si="27"/>
        <v>46204</v>
      </c>
      <c r="C251" s="332">
        <f t="shared" si="34"/>
        <v>261511.82977223792</v>
      </c>
      <c r="D251" s="332">
        <f t="shared" si="28"/>
        <v>8863.821186236893</v>
      </c>
      <c r="E251" s="333">
        <f t="shared" si="29"/>
        <v>0</v>
      </c>
      <c r="F251" s="332">
        <f t="shared" si="30"/>
        <v>8863.821186236893</v>
      </c>
      <c r="G251" s="332">
        <f t="shared" si="31"/>
        <v>7556.262037375704</v>
      </c>
      <c r="H251" s="332">
        <f t="shared" si="35"/>
        <v>1307.5591488611897</v>
      </c>
      <c r="I251" s="332">
        <f t="shared" si="32"/>
        <v>253955.5677348622</v>
      </c>
      <c r="J251" s="332">
        <f>SUM($H$18:$H251)</f>
        <v>1028089.7253142947</v>
      </c>
    </row>
    <row r="252" spans="1:10" ht="12.75">
      <c r="A252" s="329">
        <f t="shared" si="33"/>
        <v>235</v>
      </c>
      <c r="B252" s="330">
        <f t="shared" si="27"/>
        <v>46235</v>
      </c>
      <c r="C252" s="332">
        <f t="shared" si="34"/>
        <v>253955.5677348622</v>
      </c>
      <c r="D252" s="332">
        <f t="shared" si="28"/>
        <v>8863.821186236893</v>
      </c>
      <c r="E252" s="333">
        <f t="shared" si="29"/>
        <v>0</v>
      </c>
      <c r="F252" s="332">
        <f t="shared" si="30"/>
        <v>8863.821186236893</v>
      </c>
      <c r="G252" s="332">
        <f t="shared" si="31"/>
        <v>7594.043347562582</v>
      </c>
      <c r="H252" s="332">
        <f t="shared" si="35"/>
        <v>1269.777838674311</v>
      </c>
      <c r="I252" s="332">
        <f t="shared" si="32"/>
        <v>246361.52438729964</v>
      </c>
      <c r="J252" s="332">
        <f>SUM($H$18:$H252)</f>
        <v>1029359.503152969</v>
      </c>
    </row>
    <row r="253" spans="1:10" ht="12.75">
      <c r="A253" s="329">
        <f t="shared" si="33"/>
        <v>236</v>
      </c>
      <c r="B253" s="330">
        <f t="shared" si="27"/>
        <v>46266</v>
      </c>
      <c r="C253" s="332">
        <f t="shared" si="34"/>
        <v>246361.52438729964</v>
      </c>
      <c r="D253" s="332">
        <f t="shared" si="28"/>
        <v>8863.821186236893</v>
      </c>
      <c r="E253" s="333">
        <f t="shared" si="29"/>
        <v>0</v>
      </c>
      <c r="F253" s="332">
        <f t="shared" si="30"/>
        <v>8863.821186236893</v>
      </c>
      <c r="G253" s="332">
        <f t="shared" si="31"/>
        <v>7632.013564300395</v>
      </c>
      <c r="H253" s="332">
        <f t="shared" si="35"/>
        <v>1231.8076219364982</v>
      </c>
      <c r="I253" s="332">
        <f t="shared" si="32"/>
        <v>238729.51082299923</v>
      </c>
      <c r="J253" s="332">
        <f>SUM($H$18:$H253)</f>
        <v>1030591.3107749055</v>
      </c>
    </row>
    <row r="254" spans="1:10" ht="12.75">
      <c r="A254" s="329">
        <f t="shared" si="33"/>
        <v>237</v>
      </c>
      <c r="B254" s="330">
        <f t="shared" si="27"/>
        <v>46296</v>
      </c>
      <c r="C254" s="332">
        <f t="shared" si="34"/>
        <v>238729.51082299923</v>
      </c>
      <c r="D254" s="332">
        <f t="shared" si="28"/>
        <v>8863.821186236893</v>
      </c>
      <c r="E254" s="333">
        <f t="shared" si="29"/>
        <v>0</v>
      </c>
      <c r="F254" s="332">
        <f t="shared" si="30"/>
        <v>8863.821186236893</v>
      </c>
      <c r="G254" s="332">
        <f t="shared" si="31"/>
        <v>7670.173632121898</v>
      </c>
      <c r="H254" s="332">
        <f t="shared" si="35"/>
        <v>1193.6475541149962</v>
      </c>
      <c r="I254" s="332">
        <f t="shared" si="32"/>
        <v>231059.33719087733</v>
      </c>
      <c r="J254" s="332">
        <f>SUM($H$18:$H254)</f>
        <v>1031784.9583290205</v>
      </c>
    </row>
    <row r="255" spans="1:10" ht="12.75">
      <c r="A255" s="329">
        <f t="shared" si="33"/>
        <v>238</v>
      </c>
      <c r="B255" s="330">
        <f t="shared" si="27"/>
        <v>46327</v>
      </c>
      <c r="C255" s="332">
        <f t="shared" si="34"/>
        <v>231059.33719087733</v>
      </c>
      <c r="D255" s="332">
        <f t="shared" si="28"/>
        <v>8863.821186236893</v>
      </c>
      <c r="E255" s="333">
        <f t="shared" si="29"/>
        <v>0</v>
      </c>
      <c r="F255" s="332">
        <f t="shared" si="30"/>
        <v>8863.821186236893</v>
      </c>
      <c r="G255" s="332">
        <f t="shared" si="31"/>
        <v>7708.524500282507</v>
      </c>
      <c r="H255" s="332">
        <f t="shared" si="35"/>
        <v>1155.2966859543865</v>
      </c>
      <c r="I255" s="332">
        <f t="shared" si="32"/>
        <v>223350.81269059482</v>
      </c>
      <c r="J255" s="332">
        <f>SUM($H$18:$H255)</f>
        <v>1032940.255014975</v>
      </c>
    </row>
    <row r="256" spans="1:10" ht="12.75">
      <c r="A256" s="329">
        <f t="shared" si="33"/>
        <v>239</v>
      </c>
      <c r="B256" s="330">
        <f t="shared" si="27"/>
        <v>46357</v>
      </c>
      <c r="C256" s="332">
        <f t="shared" si="34"/>
        <v>223350.81269059482</v>
      </c>
      <c r="D256" s="332">
        <f t="shared" si="28"/>
        <v>8863.821186236893</v>
      </c>
      <c r="E256" s="333">
        <f t="shared" si="29"/>
        <v>0</v>
      </c>
      <c r="F256" s="332">
        <f t="shared" si="30"/>
        <v>8863.821186236893</v>
      </c>
      <c r="G256" s="332">
        <f t="shared" si="31"/>
        <v>7747.067122783919</v>
      </c>
      <c r="H256" s="332">
        <f t="shared" si="35"/>
        <v>1116.754063452974</v>
      </c>
      <c r="I256" s="332">
        <f t="shared" si="32"/>
        <v>215603.7455678109</v>
      </c>
      <c r="J256" s="332">
        <f>SUM($H$18:$H256)</f>
        <v>1034057.0090784279</v>
      </c>
    </row>
    <row r="257" spans="1:10" ht="12.75">
      <c r="A257" s="329">
        <f t="shared" si="33"/>
        <v>240</v>
      </c>
      <c r="B257" s="330">
        <f t="shared" si="27"/>
        <v>46388</v>
      </c>
      <c r="C257" s="332">
        <f t="shared" si="34"/>
        <v>215603.7455678109</v>
      </c>
      <c r="D257" s="332">
        <f t="shared" si="28"/>
        <v>8863.821186236893</v>
      </c>
      <c r="E257" s="333">
        <f t="shared" si="29"/>
        <v>0</v>
      </c>
      <c r="F257" s="332">
        <f t="shared" si="30"/>
        <v>8863.821186236893</v>
      </c>
      <c r="G257" s="332">
        <f t="shared" si="31"/>
        <v>7785.802458397839</v>
      </c>
      <c r="H257" s="332">
        <f t="shared" si="35"/>
        <v>1078.0187278390545</v>
      </c>
      <c r="I257" s="332">
        <f t="shared" si="32"/>
        <v>207817.94310941306</v>
      </c>
      <c r="J257" s="332">
        <f>SUM($H$18:$H257)</f>
        <v>1035135.027806267</v>
      </c>
    </row>
    <row r="258" spans="1:10" ht="12.75">
      <c r="A258" s="329">
        <f t="shared" si="33"/>
        <v>241</v>
      </c>
      <c r="B258" s="330">
        <f t="shared" si="27"/>
        <v>46419</v>
      </c>
      <c r="C258" s="332">
        <f t="shared" si="34"/>
        <v>207817.94310941306</v>
      </c>
      <c r="D258" s="332">
        <f t="shared" si="28"/>
        <v>8863.821186236893</v>
      </c>
      <c r="E258" s="333">
        <f t="shared" si="29"/>
        <v>0</v>
      </c>
      <c r="F258" s="332">
        <f t="shared" si="30"/>
        <v>8863.821186236893</v>
      </c>
      <c r="G258" s="332">
        <f t="shared" si="31"/>
        <v>7824.731470689829</v>
      </c>
      <c r="H258" s="332">
        <f t="shared" si="35"/>
        <v>1039.0897155470652</v>
      </c>
      <c r="I258" s="332">
        <f t="shared" si="32"/>
        <v>199993.21163872324</v>
      </c>
      <c r="J258" s="332">
        <f>SUM($H$18:$H258)</f>
        <v>1036174.1175218141</v>
      </c>
    </row>
    <row r="259" spans="1:10" ht="12.75">
      <c r="A259" s="329">
        <f t="shared" si="33"/>
        <v>242</v>
      </c>
      <c r="B259" s="330">
        <f t="shared" si="27"/>
        <v>46447</v>
      </c>
      <c r="C259" s="332">
        <f t="shared" si="34"/>
        <v>199993.21163872324</v>
      </c>
      <c r="D259" s="332">
        <f t="shared" si="28"/>
        <v>8863.821186236893</v>
      </c>
      <c r="E259" s="333">
        <f t="shared" si="29"/>
        <v>0</v>
      </c>
      <c r="F259" s="332">
        <f t="shared" si="30"/>
        <v>8863.821186236893</v>
      </c>
      <c r="G259" s="332">
        <f t="shared" si="31"/>
        <v>7863.855128043278</v>
      </c>
      <c r="H259" s="332">
        <f t="shared" si="35"/>
        <v>999.966058193616</v>
      </c>
      <c r="I259" s="332">
        <f t="shared" si="32"/>
        <v>192129.35651067997</v>
      </c>
      <c r="J259" s="332">
        <f>SUM($H$18:$H259)</f>
        <v>1037174.0835800077</v>
      </c>
    </row>
    <row r="260" spans="1:10" ht="12.75">
      <c r="A260" s="329">
        <f t="shared" si="33"/>
        <v>243</v>
      </c>
      <c r="B260" s="330">
        <f t="shared" si="27"/>
        <v>46478</v>
      </c>
      <c r="C260" s="332">
        <f t="shared" si="34"/>
        <v>192129.35651067997</v>
      </c>
      <c r="D260" s="332">
        <f t="shared" si="28"/>
        <v>8863.821186236893</v>
      </c>
      <c r="E260" s="333">
        <f t="shared" si="29"/>
        <v>0</v>
      </c>
      <c r="F260" s="332">
        <f t="shared" si="30"/>
        <v>8863.821186236893</v>
      </c>
      <c r="G260" s="332">
        <f t="shared" si="31"/>
        <v>7903.174403683493</v>
      </c>
      <c r="H260" s="332">
        <f t="shared" si="35"/>
        <v>960.6467825533997</v>
      </c>
      <c r="I260" s="332">
        <f t="shared" si="32"/>
        <v>184226.18210699648</v>
      </c>
      <c r="J260" s="332">
        <f>SUM($H$18:$H260)</f>
        <v>1038134.7303625611</v>
      </c>
    </row>
    <row r="261" spans="1:10" ht="12.75">
      <c r="A261" s="329">
        <f t="shared" si="33"/>
        <v>244</v>
      </c>
      <c r="B261" s="330">
        <f t="shared" si="27"/>
        <v>46508</v>
      </c>
      <c r="C261" s="332">
        <f t="shared" si="34"/>
        <v>184226.18210699648</v>
      </c>
      <c r="D261" s="332">
        <f t="shared" si="28"/>
        <v>8863.821186236893</v>
      </c>
      <c r="E261" s="333">
        <f t="shared" si="29"/>
        <v>0</v>
      </c>
      <c r="F261" s="332">
        <f t="shared" si="30"/>
        <v>8863.821186236893</v>
      </c>
      <c r="G261" s="332">
        <f t="shared" si="31"/>
        <v>7942.690275701911</v>
      </c>
      <c r="H261" s="332">
        <f t="shared" si="35"/>
        <v>921.1309105349824</v>
      </c>
      <c r="I261" s="332">
        <f t="shared" si="32"/>
        <v>176283.49183129458</v>
      </c>
      <c r="J261" s="332">
        <f>SUM($H$18:$H261)</f>
        <v>1039055.8612730961</v>
      </c>
    </row>
    <row r="262" spans="1:10" ht="12.75">
      <c r="A262" s="329">
        <f t="shared" si="33"/>
        <v>245</v>
      </c>
      <c r="B262" s="330">
        <f t="shared" si="27"/>
        <v>46539</v>
      </c>
      <c r="C262" s="332">
        <f t="shared" si="34"/>
        <v>176283.49183129458</v>
      </c>
      <c r="D262" s="332">
        <f t="shared" si="28"/>
        <v>8863.821186236893</v>
      </c>
      <c r="E262" s="333">
        <f t="shared" si="29"/>
        <v>0</v>
      </c>
      <c r="F262" s="332">
        <f t="shared" si="30"/>
        <v>8863.821186236893</v>
      </c>
      <c r="G262" s="332">
        <f t="shared" si="31"/>
        <v>7982.40372708042</v>
      </c>
      <c r="H262" s="332">
        <f t="shared" si="35"/>
        <v>881.4174591564729</v>
      </c>
      <c r="I262" s="332">
        <f t="shared" si="32"/>
        <v>168301.08810421417</v>
      </c>
      <c r="J262" s="332">
        <f>SUM($H$18:$H262)</f>
        <v>1039937.2787322525</v>
      </c>
    </row>
    <row r="263" spans="1:10" ht="12.75">
      <c r="A263" s="329">
        <f t="shared" si="33"/>
        <v>246</v>
      </c>
      <c r="B263" s="330">
        <f t="shared" si="27"/>
        <v>46569</v>
      </c>
      <c r="C263" s="332">
        <f t="shared" si="34"/>
        <v>168301.08810421417</v>
      </c>
      <c r="D263" s="332">
        <f t="shared" si="28"/>
        <v>8863.821186236893</v>
      </c>
      <c r="E263" s="333">
        <f t="shared" si="29"/>
        <v>0</v>
      </c>
      <c r="F263" s="332">
        <f t="shared" si="30"/>
        <v>8863.821186236893</v>
      </c>
      <c r="G263" s="332">
        <f t="shared" si="31"/>
        <v>8022.315745715823</v>
      </c>
      <c r="H263" s="332">
        <f t="shared" si="35"/>
        <v>841.5054405210708</v>
      </c>
      <c r="I263" s="332">
        <f t="shared" si="32"/>
        <v>160278.77235849836</v>
      </c>
      <c r="J263" s="332">
        <f>SUM($H$18:$H263)</f>
        <v>1040778.7841727736</v>
      </c>
    </row>
    <row r="264" spans="1:10" ht="12.75">
      <c r="A264" s="329">
        <f t="shared" si="33"/>
        <v>247</v>
      </c>
      <c r="B264" s="330">
        <f t="shared" si="27"/>
        <v>46600</v>
      </c>
      <c r="C264" s="332">
        <f t="shared" si="34"/>
        <v>160278.77235849836</v>
      </c>
      <c r="D264" s="332">
        <f t="shared" si="28"/>
        <v>8863.821186236893</v>
      </c>
      <c r="E264" s="333">
        <f t="shared" si="29"/>
        <v>0</v>
      </c>
      <c r="F264" s="332">
        <f t="shared" si="30"/>
        <v>8863.821186236893</v>
      </c>
      <c r="G264" s="332">
        <f t="shared" si="31"/>
        <v>8062.427324444402</v>
      </c>
      <c r="H264" s="332">
        <f t="shared" si="35"/>
        <v>801.3938617924917</v>
      </c>
      <c r="I264" s="332">
        <f t="shared" si="32"/>
        <v>152216.34503405396</v>
      </c>
      <c r="J264" s="332">
        <f>SUM($H$18:$H264)</f>
        <v>1041580.1780345661</v>
      </c>
    </row>
    <row r="265" spans="1:10" ht="12.75">
      <c r="A265" s="329">
        <f t="shared" si="33"/>
        <v>248</v>
      </c>
      <c r="B265" s="330">
        <f t="shared" si="27"/>
        <v>46631</v>
      </c>
      <c r="C265" s="332">
        <f t="shared" si="34"/>
        <v>152216.34503405396</v>
      </c>
      <c r="D265" s="332">
        <f t="shared" si="28"/>
        <v>8863.821186236893</v>
      </c>
      <c r="E265" s="333">
        <f t="shared" si="29"/>
        <v>0</v>
      </c>
      <c r="F265" s="332">
        <f t="shared" si="30"/>
        <v>8863.821186236893</v>
      </c>
      <c r="G265" s="332">
        <f t="shared" si="31"/>
        <v>8102.739461066623</v>
      </c>
      <c r="H265" s="332">
        <f t="shared" si="35"/>
        <v>761.0817251702697</v>
      </c>
      <c r="I265" s="332">
        <f t="shared" si="32"/>
        <v>144113.60557298735</v>
      </c>
      <c r="J265" s="332">
        <f>SUM($H$18:$H265)</f>
        <v>1042341.2597597364</v>
      </c>
    </row>
    <row r="266" spans="1:10" ht="12.75">
      <c r="A266" s="329">
        <f t="shared" si="33"/>
        <v>249</v>
      </c>
      <c r="B266" s="330">
        <f t="shared" si="27"/>
        <v>46661</v>
      </c>
      <c r="C266" s="332">
        <f t="shared" si="34"/>
        <v>144113.60557298735</v>
      </c>
      <c r="D266" s="332">
        <f t="shared" si="28"/>
        <v>8863.821186236893</v>
      </c>
      <c r="E266" s="333">
        <f t="shared" si="29"/>
        <v>0</v>
      </c>
      <c r="F266" s="332">
        <f t="shared" si="30"/>
        <v>8863.821186236893</v>
      </c>
      <c r="G266" s="332">
        <f t="shared" si="31"/>
        <v>8143.2531583719565</v>
      </c>
      <c r="H266" s="332">
        <f t="shared" si="35"/>
        <v>720.5680278649367</v>
      </c>
      <c r="I266" s="332">
        <f t="shared" si="32"/>
        <v>135970.3524146154</v>
      </c>
      <c r="J266" s="332">
        <f>SUM($H$18:$H266)</f>
        <v>1043061.8277876013</v>
      </c>
    </row>
    <row r="267" spans="1:10" ht="12.75">
      <c r="A267" s="329">
        <f t="shared" si="33"/>
        <v>250</v>
      </c>
      <c r="B267" s="330">
        <f t="shared" si="27"/>
        <v>46692</v>
      </c>
      <c r="C267" s="332">
        <f t="shared" si="34"/>
        <v>135970.3524146154</v>
      </c>
      <c r="D267" s="332">
        <f t="shared" si="28"/>
        <v>8863.821186236893</v>
      </c>
      <c r="E267" s="333">
        <f t="shared" si="29"/>
        <v>0</v>
      </c>
      <c r="F267" s="332">
        <f t="shared" si="30"/>
        <v>8863.821186236893</v>
      </c>
      <c r="G267" s="332">
        <f t="shared" si="31"/>
        <v>8183.969424163816</v>
      </c>
      <c r="H267" s="332">
        <f t="shared" si="35"/>
        <v>679.8517620730769</v>
      </c>
      <c r="I267" s="332">
        <f t="shared" si="32"/>
        <v>127786.38299045157</v>
      </c>
      <c r="J267" s="332">
        <f>SUM($H$18:$H267)</f>
        <v>1043741.6795496744</v>
      </c>
    </row>
    <row r="268" spans="1:10" ht="12.75">
      <c r="A268" s="329">
        <f t="shared" si="33"/>
        <v>251</v>
      </c>
      <c r="B268" s="330">
        <f t="shared" si="27"/>
        <v>46722</v>
      </c>
      <c r="C268" s="332">
        <f t="shared" si="34"/>
        <v>127786.38299045157</v>
      </c>
      <c r="D268" s="332">
        <f t="shared" si="28"/>
        <v>8863.821186236893</v>
      </c>
      <c r="E268" s="333">
        <f t="shared" si="29"/>
        <v>0</v>
      </c>
      <c r="F268" s="332">
        <f t="shared" si="30"/>
        <v>8863.821186236893</v>
      </c>
      <c r="G268" s="332">
        <f t="shared" si="31"/>
        <v>8224.889271284635</v>
      </c>
      <c r="H268" s="332">
        <f t="shared" si="35"/>
        <v>638.9319149522579</v>
      </c>
      <c r="I268" s="332">
        <f t="shared" si="32"/>
        <v>119561.49371916693</v>
      </c>
      <c r="J268" s="332">
        <f>SUM($H$18:$H268)</f>
        <v>1044380.6114646266</v>
      </c>
    </row>
    <row r="269" spans="1:10" ht="12.75">
      <c r="A269" s="329">
        <f t="shared" si="33"/>
        <v>252</v>
      </c>
      <c r="B269" s="330">
        <f t="shared" si="27"/>
        <v>46753</v>
      </c>
      <c r="C269" s="332">
        <f t="shared" si="34"/>
        <v>119561.49371916693</v>
      </c>
      <c r="D269" s="332">
        <f t="shared" si="28"/>
        <v>8863.821186236893</v>
      </c>
      <c r="E269" s="333">
        <f t="shared" si="29"/>
        <v>0</v>
      </c>
      <c r="F269" s="332">
        <f t="shared" si="30"/>
        <v>8863.821186236893</v>
      </c>
      <c r="G269" s="332">
        <f t="shared" si="31"/>
        <v>8266.013717641059</v>
      </c>
      <c r="H269" s="332">
        <f t="shared" si="35"/>
        <v>597.8074685958346</v>
      </c>
      <c r="I269" s="332">
        <f t="shared" si="32"/>
        <v>111295.48000152587</v>
      </c>
      <c r="J269" s="332">
        <f>SUM($H$18:$H269)</f>
        <v>1044978.4189332224</v>
      </c>
    </row>
    <row r="270" spans="1:10" ht="12.75">
      <c r="A270" s="329">
        <f t="shared" si="33"/>
        <v>253</v>
      </c>
      <c r="B270" s="330">
        <f t="shared" si="27"/>
        <v>46784</v>
      </c>
      <c r="C270" s="332">
        <f t="shared" si="34"/>
        <v>111295.48000152587</v>
      </c>
      <c r="D270" s="332">
        <f t="shared" si="28"/>
        <v>8863.821186236893</v>
      </c>
      <c r="E270" s="333">
        <f t="shared" si="29"/>
        <v>0</v>
      </c>
      <c r="F270" s="332">
        <f t="shared" si="30"/>
        <v>8863.821186236893</v>
      </c>
      <c r="G270" s="332">
        <f t="shared" si="31"/>
        <v>8307.343786229265</v>
      </c>
      <c r="H270" s="332">
        <f t="shared" si="35"/>
        <v>556.4774000076293</v>
      </c>
      <c r="I270" s="332">
        <f t="shared" si="32"/>
        <v>102988.1362152966</v>
      </c>
      <c r="J270" s="332">
        <f>SUM($H$18:$H270)</f>
        <v>1045534.8963332301</v>
      </c>
    </row>
    <row r="271" spans="1:10" ht="12.75">
      <c r="A271" s="329">
        <f t="shared" si="33"/>
        <v>254</v>
      </c>
      <c r="B271" s="330">
        <f t="shared" si="27"/>
        <v>46813</v>
      </c>
      <c r="C271" s="332">
        <f t="shared" si="34"/>
        <v>102988.1362152966</v>
      </c>
      <c r="D271" s="332">
        <f t="shared" si="28"/>
        <v>8863.821186236893</v>
      </c>
      <c r="E271" s="333">
        <f t="shared" si="29"/>
        <v>0</v>
      </c>
      <c r="F271" s="332">
        <f t="shared" si="30"/>
        <v>8863.821186236893</v>
      </c>
      <c r="G271" s="332">
        <f t="shared" si="31"/>
        <v>8348.88050516041</v>
      </c>
      <c r="H271" s="332">
        <f t="shared" si="35"/>
        <v>514.940681076483</v>
      </c>
      <c r="I271" s="332">
        <f t="shared" si="32"/>
        <v>94639.25571013619</v>
      </c>
      <c r="J271" s="332">
        <f>SUM($H$18:$H271)</f>
        <v>1046049.8370143066</v>
      </c>
    </row>
    <row r="272" spans="1:10" ht="12.75">
      <c r="A272" s="329">
        <f t="shared" si="33"/>
        <v>255</v>
      </c>
      <c r="B272" s="330">
        <f t="shared" si="27"/>
        <v>46844</v>
      </c>
      <c r="C272" s="332">
        <f t="shared" si="34"/>
        <v>94639.25571013619</v>
      </c>
      <c r="D272" s="332">
        <f t="shared" si="28"/>
        <v>8863.821186236893</v>
      </c>
      <c r="E272" s="333">
        <f t="shared" si="29"/>
        <v>0</v>
      </c>
      <c r="F272" s="332">
        <f t="shared" si="30"/>
        <v>8863.821186236893</v>
      </c>
      <c r="G272" s="332">
        <f t="shared" si="31"/>
        <v>8390.624907686213</v>
      </c>
      <c r="H272" s="332">
        <f t="shared" si="35"/>
        <v>473.1962785506809</v>
      </c>
      <c r="I272" s="332">
        <f t="shared" si="32"/>
        <v>86248.63080244997</v>
      </c>
      <c r="J272" s="332">
        <f>SUM($H$18:$H272)</f>
        <v>1046523.0332928572</v>
      </c>
    </row>
    <row r="273" spans="1:10" ht="12.75">
      <c r="A273" s="329">
        <f t="shared" si="33"/>
        <v>256</v>
      </c>
      <c r="B273" s="330">
        <f t="shared" si="27"/>
        <v>46874</v>
      </c>
      <c r="C273" s="332">
        <f t="shared" si="34"/>
        <v>86248.63080244997</v>
      </c>
      <c r="D273" s="332">
        <f t="shared" si="28"/>
        <v>8863.821186236893</v>
      </c>
      <c r="E273" s="333">
        <f t="shared" si="29"/>
        <v>0</v>
      </c>
      <c r="F273" s="332">
        <f t="shared" si="30"/>
        <v>8863.821186236893</v>
      </c>
      <c r="G273" s="332">
        <f t="shared" si="31"/>
        <v>8432.578032224643</v>
      </c>
      <c r="H273" s="332">
        <f t="shared" si="35"/>
        <v>431.2431540122498</v>
      </c>
      <c r="I273" s="332">
        <f t="shared" si="32"/>
        <v>77816.05277022533</v>
      </c>
      <c r="J273" s="332">
        <f>SUM($H$18:$H273)</f>
        <v>1046954.2764468695</v>
      </c>
    </row>
    <row r="274" spans="1:10" ht="12.75">
      <c r="A274" s="329">
        <f t="shared" si="33"/>
        <v>257</v>
      </c>
      <c r="B274" s="330">
        <f aca="true" t="shared" si="36" ref="B274:B337">IF(Pay_Num_3&lt;&gt;"",DATE(YEAR(Loan_Start_3),MONTH(Loan_Start_3)+(Pay_Num_3)*12/Num_Pmt_Per_Year_3,DAY(Loan_Start_3)),"")</f>
        <v>46905</v>
      </c>
      <c r="C274" s="332">
        <f t="shared" si="34"/>
        <v>77816.05277022533</v>
      </c>
      <c r="D274" s="332">
        <f aca="true" t="shared" si="37" ref="D274:D337">IF(Pay_Num_3&lt;&gt;"",Scheduled_Monthly_Payment_3,"")</f>
        <v>8863.821186236893</v>
      </c>
      <c r="E274" s="333">
        <f aca="true" t="shared" si="38" ref="E274:E337">IF(AND(Pay_Num_3&lt;&gt;"",Sched_Pay_3+Scheduled_Extra_Payments_3&lt;Beg_Bal_3),Scheduled_Extra_Payments_3,IF(AND(Pay_Num_3&lt;&gt;"",Beg_Bal_3-Sched_Pay_3&gt;0),Beg_Bal_3-Sched_Pay_3,IF(Pay_Num_3&lt;&gt;"",0,"")))</f>
        <v>0</v>
      </c>
      <c r="F274" s="332">
        <f aca="true" t="shared" si="39" ref="F274:F337">IF(AND(Pay_Num_3&lt;&gt;"",Sched_Pay_3+Extra_Pay_3&lt;Beg_Bal_3),Sched_Pay_3+Extra_Pay_3,IF(Pay_Num_3&lt;&gt;"",Beg_Bal_3,""))</f>
        <v>8863.821186236893</v>
      </c>
      <c r="G274" s="332">
        <f aca="true" t="shared" si="40" ref="G274:G337">IF(Pay_Num_3&lt;&gt;"",Total_Pay_3-Int_3,"")</f>
        <v>8474.740922385767</v>
      </c>
      <c r="H274" s="332">
        <f t="shared" si="35"/>
        <v>389.08026385112663</v>
      </c>
      <c r="I274" s="332">
        <f aca="true" t="shared" si="41" ref="I274:I337">IF(AND(Pay_Num_3&lt;&gt;"",Sched_Pay_3+Extra_Pay_3&lt;Beg_Bal_3),Beg_Bal_3-Princ_3,IF(Pay_Num_3&lt;&gt;"",0,""))</f>
        <v>69341.31184783956</v>
      </c>
      <c r="J274" s="332">
        <f>SUM($H$18:$H274)</f>
        <v>1047343.3567107206</v>
      </c>
    </row>
    <row r="275" spans="1:10" ht="12.75">
      <c r="A275" s="329">
        <f aca="true" t="shared" si="42" ref="A275:A338">IF(Values_Entered_3,A274+1,"")</f>
        <v>258</v>
      </c>
      <c r="B275" s="330">
        <f t="shared" si="36"/>
        <v>46935</v>
      </c>
      <c r="C275" s="332">
        <f aca="true" t="shared" si="43" ref="C275:C338">IF(Pay_Num_3&lt;&gt;"",I274,"")</f>
        <v>69341.31184783956</v>
      </c>
      <c r="D275" s="332">
        <f t="shared" si="37"/>
        <v>8863.821186236893</v>
      </c>
      <c r="E275" s="333">
        <f t="shared" si="38"/>
        <v>0</v>
      </c>
      <c r="F275" s="332">
        <f t="shared" si="39"/>
        <v>8863.821186236893</v>
      </c>
      <c r="G275" s="332">
        <f t="shared" si="40"/>
        <v>8517.114626997696</v>
      </c>
      <c r="H275" s="332">
        <f aca="true" t="shared" si="44" ref="H275:H338">IF(Pay_Num_3&lt;&gt;"",Beg_Bal_3*Interest_Rate_3/Num_Pmt_Per_Year_3,"")</f>
        <v>346.7065592391978</v>
      </c>
      <c r="I275" s="332">
        <f t="shared" si="41"/>
        <v>60824.19722084187</v>
      </c>
      <c r="J275" s="332">
        <f>SUM($H$18:$H275)</f>
        <v>1047690.0632699598</v>
      </c>
    </row>
    <row r="276" spans="1:10" ht="12.75">
      <c r="A276" s="329">
        <f t="shared" si="42"/>
        <v>259</v>
      </c>
      <c r="B276" s="330">
        <f t="shared" si="36"/>
        <v>46966</v>
      </c>
      <c r="C276" s="332">
        <f t="shared" si="43"/>
        <v>60824.19722084187</v>
      </c>
      <c r="D276" s="332">
        <f t="shared" si="37"/>
        <v>8863.821186236893</v>
      </c>
      <c r="E276" s="333">
        <f t="shared" si="38"/>
        <v>0</v>
      </c>
      <c r="F276" s="332">
        <f t="shared" si="39"/>
        <v>8863.821186236893</v>
      </c>
      <c r="G276" s="332">
        <f t="shared" si="40"/>
        <v>8559.700200132684</v>
      </c>
      <c r="H276" s="332">
        <f t="shared" si="44"/>
        <v>304.1209861042093</v>
      </c>
      <c r="I276" s="332">
        <f t="shared" si="41"/>
        <v>52264.49702070918</v>
      </c>
      <c r="J276" s="332">
        <f>SUM($H$18:$H276)</f>
        <v>1047994.184256064</v>
      </c>
    </row>
    <row r="277" spans="1:10" ht="12.75">
      <c r="A277" s="329">
        <f t="shared" si="42"/>
        <v>260</v>
      </c>
      <c r="B277" s="330">
        <f t="shared" si="36"/>
        <v>46997</v>
      </c>
      <c r="C277" s="332">
        <f t="shared" si="43"/>
        <v>52264.49702070918</v>
      </c>
      <c r="D277" s="332">
        <f t="shared" si="37"/>
        <v>8863.821186236893</v>
      </c>
      <c r="E277" s="333">
        <f t="shared" si="38"/>
        <v>0</v>
      </c>
      <c r="F277" s="332">
        <f t="shared" si="39"/>
        <v>8863.821186236893</v>
      </c>
      <c r="G277" s="332">
        <f t="shared" si="40"/>
        <v>8602.498701133347</v>
      </c>
      <c r="H277" s="332">
        <f t="shared" si="44"/>
        <v>261.3224851035459</v>
      </c>
      <c r="I277" s="332">
        <f t="shared" si="41"/>
        <v>43661.99831957584</v>
      </c>
      <c r="J277" s="332">
        <f>SUM($H$18:$H277)</f>
        <v>1048255.5067411675</v>
      </c>
    </row>
    <row r="278" spans="1:10" ht="12.75">
      <c r="A278" s="329">
        <f t="shared" si="42"/>
        <v>261</v>
      </c>
      <c r="B278" s="330">
        <f t="shared" si="36"/>
        <v>47027</v>
      </c>
      <c r="C278" s="332">
        <f t="shared" si="43"/>
        <v>43661.99831957584</v>
      </c>
      <c r="D278" s="332">
        <f t="shared" si="37"/>
        <v>8863.821186236893</v>
      </c>
      <c r="E278" s="333">
        <f t="shared" si="38"/>
        <v>0</v>
      </c>
      <c r="F278" s="332">
        <f t="shared" si="39"/>
        <v>8863.821186236893</v>
      </c>
      <c r="G278" s="332">
        <f t="shared" si="40"/>
        <v>8645.511194639013</v>
      </c>
      <c r="H278" s="332">
        <f t="shared" si="44"/>
        <v>218.3099915978792</v>
      </c>
      <c r="I278" s="332">
        <f t="shared" si="41"/>
        <v>35016.48712493683</v>
      </c>
      <c r="J278" s="332">
        <f>SUM($H$18:$H278)</f>
        <v>1048473.8167327654</v>
      </c>
    </row>
    <row r="279" spans="1:10" ht="12.75">
      <c r="A279" s="329">
        <f t="shared" si="42"/>
        <v>262</v>
      </c>
      <c r="B279" s="330">
        <f t="shared" si="36"/>
        <v>47058</v>
      </c>
      <c r="C279" s="332">
        <f t="shared" si="43"/>
        <v>35016.48712493683</v>
      </c>
      <c r="D279" s="332">
        <f t="shared" si="37"/>
        <v>8863.821186236893</v>
      </c>
      <c r="E279" s="333">
        <f t="shared" si="38"/>
        <v>0</v>
      </c>
      <c r="F279" s="332">
        <f t="shared" si="39"/>
        <v>8863.821186236893</v>
      </c>
      <c r="G279" s="332">
        <f t="shared" si="40"/>
        <v>8688.738750612209</v>
      </c>
      <c r="H279" s="332">
        <f t="shared" si="44"/>
        <v>175.08243562468417</v>
      </c>
      <c r="I279" s="332">
        <f t="shared" si="41"/>
        <v>26327.74837432462</v>
      </c>
      <c r="J279" s="332">
        <f>SUM($H$18:$H279)</f>
        <v>1048648.89916839</v>
      </c>
    </row>
    <row r="280" spans="1:10" ht="12.75">
      <c r="A280" s="329">
        <f t="shared" si="42"/>
        <v>263</v>
      </c>
      <c r="B280" s="330">
        <f t="shared" si="36"/>
        <v>47088</v>
      </c>
      <c r="C280" s="332">
        <f t="shared" si="43"/>
        <v>26327.74837432462</v>
      </c>
      <c r="D280" s="332">
        <f t="shared" si="37"/>
        <v>8863.821186236893</v>
      </c>
      <c r="E280" s="333">
        <f t="shared" si="38"/>
        <v>0</v>
      </c>
      <c r="F280" s="332">
        <f t="shared" si="39"/>
        <v>8863.821186236893</v>
      </c>
      <c r="G280" s="332">
        <f t="shared" si="40"/>
        <v>8732.18244436527</v>
      </c>
      <c r="H280" s="332">
        <f t="shared" si="44"/>
        <v>131.6387418716231</v>
      </c>
      <c r="I280" s="332">
        <f t="shared" si="41"/>
        <v>17595.56592995935</v>
      </c>
      <c r="J280" s="332">
        <f>SUM($H$18:$H280)</f>
        <v>1048780.5379102617</v>
      </c>
    </row>
    <row r="281" spans="1:10" ht="12.75">
      <c r="A281" s="329">
        <f t="shared" si="42"/>
        <v>264</v>
      </c>
      <c r="B281" s="330">
        <f t="shared" si="36"/>
        <v>47119</v>
      </c>
      <c r="C281" s="332">
        <f t="shared" si="43"/>
        <v>17595.56592995935</v>
      </c>
      <c r="D281" s="332">
        <f t="shared" si="37"/>
        <v>8863.821186236893</v>
      </c>
      <c r="E281" s="333">
        <f t="shared" si="38"/>
        <v>0</v>
      </c>
      <c r="F281" s="332">
        <f t="shared" si="39"/>
        <v>8863.821186236893</v>
      </c>
      <c r="G281" s="332">
        <f t="shared" si="40"/>
        <v>8775.843356587096</v>
      </c>
      <c r="H281" s="332">
        <f t="shared" si="44"/>
        <v>87.97782964979676</v>
      </c>
      <c r="I281" s="332">
        <f t="shared" si="41"/>
        <v>8819.722573372253</v>
      </c>
      <c r="J281" s="332">
        <f>SUM($H$18:$H281)</f>
        <v>1048868.5157399115</v>
      </c>
    </row>
    <row r="282" spans="1:10" ht="12.75">
      <c r="A282" s="329">
        <f t="shared" si="42"/>
        <v>265</v>
      </c>
      <c r="B282" s="330">
        <f t="shared" si="36"/>
        <v>47150</v>
      </c>
      <c r="C282" s="332">
        <f t="shared" si="43"/>
        <v>8819.722573372253</v>
      </c>
      <c r="D282" s="332">
        <f t="shared" si="37"/>
        <v>8863.821186236893</v>
      </c>
      <c r="E282" s="333">
        <f t="shared" si="38"/>
        <v>0</v>
      </c>
      <c r="F282" s="332">
        <f t="shared" si="39"/>
        <v>8819.722573372253</v>
      </c>
      <c r="G282" s="332">
        <f t="shared" si="40"/>
        <v>8775.623960505392</v>
      </c>
      <c r="H282" s="332">
        <f t="shared" si="44"/>
        <v>44.09861286686127</v>
      </c>
      <c r="I282" s="332">
        <f t="shared" si="41"/>
        <v>0</v>
      </c>
      <c r="J282" s="332">
        <f>SUM($H$18:$H282)</f>
        <v>1048912.6143527783</v>
      </c>
    </row>
    <row r="283" spans="1:10" ht="12.75">
      <c r="A283" s="329">
        <f t="shared" si="42"/>
        <v>266</v>
      </c>
      <c r="B283" s="330">
        <f t="shared" si="36"/>
        <v>47178</v>
      </c>
      <c r="C283" s="332">
        <f t="shared" si="43"/>
        <v>0</v>
      </c>
      <c r="D283" s="332">
        <f t="shared" si="37"/>
        <v>8863.821186236893</v>
      </c>
      <c r="E283" s="333">
        <f t="shared" si="38"/>
        <v>0</v>
      </c>
      <c r="F283" s="332">
        <f t="shared" si="39"/>
        <v>0</v>
      </c>
      <c r="G283" s="332">
        <f t="shared" si="40"/>
        <v>0</v>
      </c>
      <c r="H283" s="332">
        <f t="shared" si="44"/>
        <v>0</v>
      </c>
      <c r="I283" s="332">
        <f t="shared" si="41"/>
        <v>0</v>
      </c>
      <c r="J283" s="332">
        <f>SUM($H$18:$H283)</f>
        <v>1048912.6143527783</v>
      </c>
    </row>
    <row r="284" spans="1:10" ht="12.75">
      <c r="A284" s="329">
        <f t="shared" si="42"/>
        <v>267</v>
      </c>
      <c r="B284" s="330">
        <f t="shared" si="36"/>
        <v>47209</v>
      </c>
      <c r="C284" s="332">
        <f t="shared" si="43"/>
        <v>0</v>
      </c>
      <c r="D284" s="332">
        <f t="shared" si="37"/>
        <v>8863.821186236893</v>
      </c>
      <c r="E284" s="333">
        <f t="shared" si="38"/>
        <v>0</v>
      </c>
      <c r="F284" s="332">
        <f t="shared" si="39"/>
        <v>0</v>
      </c>
      <c r="G284" s="332">
        <f t="shared" si="40"/>
        <v>0</v>
      </c>
      <c r="H284" s="332">
        <f t="shared" si="44"/>
        <v>0</v>
      </c>
      <c r="I284" s="332">
        <f t="shared" si="41"/>
        <v>0</v>
      </c>
      <c r="J284" s="332">
        <f>SUM($H$18:$H284)</f>
        <v>1048912.6143527783</v>
      </c>
    </row>
    <row r="285" spans="1:10" ht="12.75">
      <c r="A285" s="329">
        <f t="shared" si="42"/>
        <v>268</v>
      </c>
      <c r="B285" s="330">
        <f t="shared" si="36"/>
        <v>47239</v>
      </c>
      <c r="C285" s="332">
        <f t="shared" si="43"/>
        <v>0</v>
      </c>
      <c r="D285" s="332">
        <f t="shared" si="37"/>
        <v>8863.821186236893</v>
      </c>
      <c r="E285" s="333">
        <f t="shared" si="38"/>
        <v>0</v>
      </c>
      <c r="F285" s="332">
        <f t="shared" si="39"/>
        <v>0</v>
      </c>
      <c r="G285" s="332">
        <f t="shared" si="40"/>
        <v>0</v>
      </c>
      <c r="H285" s="332">
        <f t="shared" si="44"/>
        <v>0</v>
      </c>
      <c r="I285" s="332">
        <f t="shared" si="41"/>
        <v>0</v>
      </c>
      <c r="J285" s="332">
        <f>SUM($H$18:$H285)</f>
        <v>1048912.6143527783</v>
      </c>
    </row>
    <row r="286" spans="1:10" ht="12.75">
      <c r="A286" s="329">
        <f t="shared" si="42"/>
        <v>269</v>
      </c>
      <c r="B286" s="330">
        <f t="shared" si="36"/>
        <v>47270</v>
      </c>
      <c r="C286" s="332">
        <f t="shared" si="43"/>
        <v>0</v>
      </c>
      <c r="D286" s="332">
        <f t="shared" si="37"/>
        <v>8863.821186236893</v>
      </c>
      <c r="E286" s="333">
        <f t="shared" si="38"/>
        <v>0</v>
      </c>
      <c r="F286" s="332">
        <f t="shared" si="39"/>
        <v>0</v>
      </c>
      <c r="G286" s="332">
        <f t="shared" si="40"/>
        <v>0</v>
      </c>
      <c r="H286" s="332">
        <f t="shared" si="44"/>
        <v>0</v>
      </c>
      <c r="I286" s="332">
        <f t="shared" si="41"/>
        <v>0</v>
      </c>
      <c r="J286" s="332">
        <f>SUM($H$18:$H286)</f>
        <v>1048912.6143527783</v>
      </c>
    </row>
    <row r="287" spans="1:10" ht="12.75">
      <c r="A287" s="329">
        <f t="shared" si="42"/>
        <v>270</v>
      </c>
      <c r="B287" s="330">
        <f t="shared" si="36"/>
        <v>47300</v>
      </c>
      <c r="C287" s="332">
        <f t="shared" si="43"/>
        <v>0</v>
      </c>
      <c r="D287" s="332">
        <f t="shared" si="37"/>
        <v>8863.821186236893</v>
      </c>
      <c r="E287" s="333">
        <f t="shared" si="38"/>
        <v>0</v>
      </c>
      <c r="F287" s="332">
        <f t="shared" si="39"/>
        <v>0</v>
      </c>
      <c r="G287" s="332">
        <f t="shared" si="40"/>
        <v>0</v>
      </c>
      <c r="H287" s="332">
        <f t="shared" si="44"/>
        <v>0</v>
      </c>
      <c r="I287" s="332">
        <f t="shared" si="41"/>
        <v>0</v>
      </c>
      <c r="J287" s="332">
        <f>SUM($H$18:$H287)</f>
        <v>1048912.6143527783</v>
      </c>
    </row>
    <row r="288" spans="1:10" ht="12.75">
      <c r="A288" s="329">
        <f t="shared" si="42"/>
        <v>271</v>
      </c>
      <c r="B288" s="330">
        <f t="shared" si="36"/>
        <v>47331</v>
      </c>
      <c r="C288" s="332">
        <f t="shared" si="43"/>
        <v>0</v>
      </c>
      <c r="D288" s="332">
        <f t="shared" si="37"/>
        <v>8863.821186236893</v>
      </c>
      <c r="E288" s="333">
        <f t="shared" si="38"/>
        <v>0</v>
      </c>
      <c r="F288" s="332">
        <f t="shared" si="39"/>
        <v>0</v>
      </c>
      <c r="G288" s="332">
        <f t="shared" si="40"/>
        <v>0</v>
      </c>
      <c r="H288" s="332">
        <f t="shared" si="44"/>
        <v>0</v>
      </c>
      <c r="I288" s="332">
        <f t="shared" si="41"/>
        <v>0</v>
      </c>
      <c r="J288" s="332">
        <f>SUM($H$18:$H288)</f>
        <v>1048912.6143527783</v>
      </c>
    </row>
    <row r="289" spans="1:10" ht="12.75">
      <c r="A289" s="329">
        <f t="shared" si="42"/>
        <v>272</v>
      </c>
      <c r="B289" s="330">
        <f t="shared" si="36"/>
        <v>47362</v>
      </c>
      <c r="C289" s="332">
        <f t="shared" si="43"/>
        <v>0</v>
      </c>
      <c r="D289" s="332">
        <f t="shared" si="37"/>
        <v>8863.821186236893</v>
      </c>
      <c r="E289" s="333">
        <f t="shared" si="38"/>
        <v>0</v>
      </c>
      <c r="F289" s="332">
        <f t="shared" si="39"/>
        <v>0</v>
      </c>
      <c r="G289" s="332">
        <f t="shared" si="40"/>
        <v>0</v>
      </c>
      <c r="H289" s="332">
        <f t="shared" si="44"/>
        <v>0</v>
      </c>
      <c r="I289" s="332">
        <f t="shared" si="41"/>
        <v>0</v>
      </c>
      <c r="J289" s="332">
        <f>SUM($H$18:$H289)</f>
        <v>1048912.6143527783</v>
      </c>
    </row>
    <row r="290" spans="1:10" ht="12.75">
      <c r="A290" s="329">
        <f t="shared" si="42"/>
        <v>273</v>
      </c>
      <c r="B290" s="330">
        <f t="shared" si="36"/>
        <v>47392</v>
      </c>
      <c r="C290" s="332">
        <f t="shared" si="43"/>
        <v>0</v>
      </c>
      <c r="D290" s="332">
        <f t="shared" si="37"/>
        <v>8863.821186236893</v>
      </c>
      <c r="E290" s="333">
        <f t="shared" si="38"/>
        <v>0</v>
      </c>
      <c r="F290" s="332">
        <f t="shared" si="39"/>
        <v>0</v>
      </c>
      <c r="G290" s="332">
        <f t="shared" si="40"/>
        <v>0</v>
      </c>
      <c r="H290" s="332">
        <f t="shared" si="44"/>
        <v>0</v>
      </c>
      <c r="I290" s="332">
        <f t="shared" si="41"/>
        <v>0</v>
      </c>
      <c r="J290" s="332">
        <f>SUM($H$18:$H290)</f>
        <v>1048912.6143527783</v>
      </c>
    </row>
    <row r="291" spans="1:10" ht="12.75">
      <c r="A291" s="329">
        <f t="shared" si="42"/>
        <v>274</v>
      </c>
      <c r="B291" s="330">
        <f t="shared" si="36"/>
        <v>47423</v>
      </c>
      <c r="C291" s="332">
        <f t="shared" si="43"/>
        <v>0</v>
      </c>
      <c r="D291" s="332">
        <f t="shared" si="37"/>
        <v>8863.821186236893</v>
      </c>
      <c r="E291" s="333">
        <f t="shared" si="38"/>
        <v>0</v>
      </c>
      <c r="F291" s="332">
        <f t="shared" si="39"/>
        <v>0</v>
      </c>
      <c r="G291" s="332">
        <f t="shared" si="40"/>
        <v>0</v>
      </c>
      <c r="H291" s="332">
        <f t="shared" si="44"/>
        <v>0</v>
      </c>
      <c r="I291" s="332">
        <f t="shared" si="41"/>
        <v>0</v>
      </c>
      <c r="J291" s="332">
        <f>SUM($H$18:$H291)</f>
        <v>1048912.6143527783</v>
      </c>
    </row>
    <row r="292" spans="1:10" ht="12.75">
      <c r="A292" s="329">
        <f t="shared" si="42"/>
        <v>275</v>
      </c>
      <c r="B292" s="330">
        <f t="shared" si="36"/>
        <v>47453</v>
      </c>
      <c r="C292" s="332">
        <f t="shared" si="43"/>
        <v>0</v>
      </c>
      <c r="D292" s="332">
        <f t="shared" si="37"/>
        <v>8863.821186236893</v>
      </c>
      <c r="E292" s="333">
        <f t="shared" si="38"/>
        <v>0</v>
      </c>
      <c r="F292" s="332">
        <f t="shared" si="39"/>
        <v>0</v>
      </c>
      <c r="G292" s="332">
        <f t="shared" si="40"/>
        <v>0</v>
      </c>
      <c r="H292" s="332">
        <f t="shared" si="44"/>
        <v>0</v>
      </c>
      <c r="I292" s="332">
        <f t="shared" si="41"/>
        <v>0</v>
      </c>
      <c r="J292" s="332">
        <f>SUM($H$18:$H292)</f>
        <v>1048912.6143527783</v>
      </c>
    </row>
    <row r="293" spans="1:10" ht="12.75">
      <c r="A293" s="329">
        <f t="shared" si="42"/>
        <v>276</v>
      </c>
      <c r="B293" s="330">
        <f t="shared" si="36"/>
        <v>47484</v>
      </c>
      <c r="C293" s="332">
        <f t="shared" si="43"/>
        <v>0</v>
      </c>
      <c r="D293" s="332">
        <f t="shared" si="37"/>
        <v>8863.821186236893</v>
      </c>
      <c r="E293" s="333">
        <f t="shared" si="38"/>
        <v>0</v>
      </c>
      <c r="F293" s="332">
        <f t="shared" si="39"/>
        <v>0</v>
      </c>
      <c r="G293" s="332">
        <f t="shared" si="40"/>
        <v>0</v>
      </c>
      <c r="H293" s="332">
        <f t="shared" si="44"/>
        <v>0</v>
      </c>
      <c r="I293" s="332">
        <f t="shared" si="41"/>
        <v>0</v>
      </c>
      <c r="J293" s="332">
        <f>SUM($H$18:$H293)</f>
        <v>1048912.6143527783</v>
      </c>
    </row>
    <row r="294" spans="1:10" ht="12.75">
      <c r="A294" s="329">
        <f t="shared" si="42"/>
        <v>277</v>
      </c>
      <c r="B294" s="330">
        <f t="shared" si="36"/>
        <v>47515</v>
      </c>
      <c r="C294" s="332">
        <f t="shared" si="43"/>
        <v>0</v>
      </c>
      <c r="D294" s="332">
        <f t="shared" si="37"/>
        <v>8863.821186236893</v>
      </c>
      <c r="E294" s="333">
        <f t="shared" si="38"/>
        <v>0</v>
      </c>
      <c r="F294" s="332">
        <f t="shared" si="39"/>
        <v>0</v>
      </c>
      <c r="G294" s="332">
        <f t="shared" si="40"/>
        <v>0</v>
      </c>
      <c r="H294" s="332">
        <f t="shared" si="44"/>
        <v>0</v>
      </c>
      <c r="I294" s="332">
        <f t="shared" si="41"/>
        <v>0</v>
      </c>
      <c r="J294" s="332">
        <f>SUM($H$18:$H294)</f>
        <v>1048912.6143527783</v>
      </c>
    </row>
    <row r="295" spans="1:10" ht="12.75">
      <c r="A295" s="329">
        <f t="shared" si="42"/>
        <v>278</v>
      </c>
      <c r="B295" s="330">
        <f t="shared" si="36"/>
        <v>47543</v>
      </c>
      <c r="C295" s="332">
        <f t="shared" si="43"/>
        <v>0</v>
      </c>
      <c r="D295" s="332">
        <f t="shared" si="37"/>
        <v>8863.821186236893</v>
      </c>
      <c r="E295" s="333">
        <f t="shared" si="38"/>
        <v>0</v>
      </c>
      <c r="F295" s="332">
        <f t="shared" si="39"/>
        <v>0</v>
      </c>
      <c r="G295" s="332">
        <f t="shared" si="40"/>
        <v>0</v>
      </c>
      <c r="H295" s="332">
        <f t="shared" si="44"/>
        <v>0</v>
      </c>
      <c r="I295" s="332">
        <f t="shared" si="41"/>
        <v>0</v>
      </c>
      <c r="J295" s="332">
        <f>SUM($H$18:$H295)</f>
        <v>1048912.6143527783</v>
      </c>
    </row>
    <row r="296" spans="1:10" ht="12.75">
      <c r="A296" s="329">
        <f t="shared" si="42"/>
        <v>279</v>
      </c>
      <c r="B296" s="330">
        <f t="shared" si="36"/>
        <v>47574</v>
      </c>
      <c r="C296" s="332">
        <f t="shared" si="43"/>
        <v>0</v>
      </c>
      <c r="D296" s="332">
        <f t="shared" si="37"/>
        <v>8863.821186236893</v>
      </c>
      <c r="E296" s="333">
        <f t="shared" si="38"/>
        <v>0</v>
      </c>
      <c r="F296" s="332">
        <f t="shared" si="39"/>
        <v>0</v>
      </c>
      <c r="G296" s="332">
        <f t="shared" si="40"/>
        <v>0</v>
      </c>
      <c r="H296" s="332">
        <f t="shared" si="44"/>
        <v>0</v>
      </c>
      <c r="I296" s="332">
        <f t="shared" si="41"/>
        <v>0</v>
      </c>
      <c r="J296" s="332">
        <f>SUM($H$18:$H296)</f>
        <v>1048912.6143527783</v>
      </c>
    </row>
    <row r="297" spans="1:10" ht="12.75">
      <c r="A297" s="329">
        <f t="shared" si="42"/>
        <v>280</v>
      </c>
      <c r="B297" s="330">
        <f t="shared" si="36"/>
        <v>47604</v>
      </c>
      <c r="C297" s="332">
        <f t="shared" si="43"/>
        <v>0</v>
      </c>
      <c r="D297" s="332">
        <f t="shared" si="37"/>
        <v>8863.821186236893</v>
      </c>
      <c r="E297" s="333">
        <f t="shared" si="38"/>
        <v>0</v>
      </c>
      <c r="F297" s="332">
        <f t="shared" si="39"/>
        <v>0</v>
      </c>
      <c r="G297" s="332">
        <f t="shared" si="40"/>
        <v>0</v>
      </c>
      <c r="H297" s="332">
        <f t="shared" si="44"/>
        <v>0</v>
      </c>
      <c r="I297" s="332">
        <f t="shared" si="41"/>
        <v>0</v>
      </c>
      <c r="J297" s="332">
        <f>SUM($H$18:$H297)</f>
        <v>1048912.6143527783</v>
      </c>
    </row>
    <row r="298" spans="1:10" ht="12.75">
      <c r="A298" s="329">
        <f t="shared" si="42"/>
        <v>281</v>
      </c>
      <c r="B298" s="330">
        <f t="shared" si="36"/>
        <v>47635</v>
      </c>
      <c r="C298" s="332">
        <f t="shared" si="43"/>
        <v>0</v>
      </c>
      <c r="D298" s="332">
        <f t="shared" si="37"/>
        <v>8863.821186236893</v>
      </c>
      <c r="E298" s="333">
        <f t="shared" si="38"/>
        <v>0</v>
      </c>
      <c r="F298" s="332">
        <f t="shared" si="39"/>
        <v>0</v>
      </c>
      <c r="G298" s="332">
        <f t="shared" si="40"/>
        <v>0</v>
      </c>
      <c r="H298" s="332">
        <f t="shared" si="44"/>
        <v>0</v>
      </c>
      <c r="I298" s="332">
        <f t="shared" si="41"/>
        <v>0</v>
      </c>
      <c r="J298" s="332">
        <f>SUM($H$18:$H298)</f>
        <v>1048912.6143527783</v>
      </c>
    </row>
    <row r="299" spans="1:10" ht="12.75">
      <c r="A299" s="329">
        <f t="shared" si="42"/>
        <v>282</v>
      </c>
      <c r="B299" s="330">
        <f t="shared" si="36"/>
        <v>47665</v>
      </c>
      <c r="C299" s="332">
        <f t="shared" si="43"/>
        <v>0</v>
      </c>
      <c r="D299" s="332">
        <f t="shared" si="37"/>
        <v>8863.821186236893</v>
      </c>
      <c r="E299" s="333">
        <f t="shared" si="38"/>
        <v>0</v>
      </c>
      <c r="F299" s="332">
        <f t="shared" si="39"/>
        <v>0</v>
      </c>
      <c r="G299" s="332">
        <f t="shared" si="40"/>
        <v>0</v>
      </c>
      <c r="H299" s="332">
        <f t="shared" si="44"/>
        <v>0</v>
      </c>
      <c r="I299" s="332">
        <f t="shared" si="41"/>
        <v>0</v>
      </c>
      <c r="J299" s="332">
        <f>SUM($H$18:$H299)</f>
        <v>1048912.6143527783</v>
      </c>
    </row>
    <row r="300" spans="1:10" ht="12.75">
      <c r="A300" s="329">
        <f t="shared" si="42"/>
        <v>283</v>
      </c>
      <c r="B300" s="330">
        <f t="shared" si="36"/>
        <v>47696</v>
      </c>
      <c r="C300" s="332">
        <f t="shared" si="43"/>
        <v>0</v>
      </c>
      <c r="D300" s="332">
        <f t="shared" si="37"/>
        <v>8863.821186236893</v>
      </c>
      <c r="E300" s="333">
        <f t="shared" si="38"/>
        <v>0</v>
      </c>
      <c r="F300" s="332">
        <f t="shared" si="39"/>
        <v>0</v>
      </c>
      <c r="G300" s="332">
        <f t="shared" si="40"/>
        <v>0</v>
      </c>
      <c r="H300" s="332">
        <f t="shared" si="44"/>
        <v>0</v>
      </c>
      <c r="I300" s="332">
        <f t="shared" si="41"/>
        <v>0</v>
      </c>
      <c r="J300" s="332">
        <f>SUM($H$18:$H300)</f>
        <v>1048912.6143527783</v>
      </c>
    </row>
    <row r="301" spans="1:10" ht="12.75">
      <c r="A301" s="329">
        <f t="shared" si="42"/>
        <v>284</v>
      </c>
      <c r="B301" s="330">
        <f t="shared" si="36"/>
        <v>47727</v>
      </c>
      <c r="C301" s="332">
        <f t="shared" si="43"/>
        <v>0</v>
      </c>
      <c r="D301" s="332">
        <f t="shared" si="37"/>
        <v>8863.821186236893</v>
      </c>
      <c r="E301" s="333">
        <f t="shared" si="38"/>
        <v>0</v>
      </c>
      <c r="F301" s="332">
        <f t="shared" si="39"/>
        <v>0</v>
      </c>
      <c r="G301" s="332">
        <f t="shared" si="40"/>
        <v>0</v>
      </c>
      <c r="H301" s="332">
        <f t="shared" si="44"/>
        <v>0</v>
      </c>
      <c r="I301" s="332">
        <f t="shared" si="41"/>
        <v>0</v>
      </c>
      <c r="J301" s="332">
        <f>SUM($H$18:$H301)</f>
        <v>1048912.6143527783</v>
      </c>
    </row>
    <row r="302" spans="1:10" ht="12.75">
      <c r="A302" s="329">
        <f t="shared" si="42"/>
        <v>285</v>
      </c>
      <c r="B302" s="330">
        <f t="shared" si="36"/>
        <v>47757</v>
      </c>
      <c r="C302" s="332">
        <f t="shared" si="43"/>
        <v>0</v>
      </c>
      <c r="D302" s="332">
        <f t="shared" si="37"/>
        <v>8863.821186236893</v>
      </c>
      <c r="E302" s="333">
        <f t="shared" si="38"/>
        <v>0</v>
      </c>
      <c r="F302" s="332">
        <f t="shared" si="39"/>
        <v>0</v>
      </c>
      <c r="G302" s="332">
        <f t="shared" si="40"/>
        <v>0</v>
      </c>
      <c r="H302" s="332">
        <f t="shared" si="44"/>
        <v>0</v>
      </c>
      <c r="I302" s="332">
        <f t="shared" si="41"/>
        <v>0</v>
      </c>
      <c r="J302" s="332">
        <f>SUM($H$18:$H302)</f>
        <v>1048912.6143527783</v>
      </c>
    </row>
    <row r="303" spans="1:10" ht="12.75">
      <c r="A303" s="329">
        <f t="shared" si="42"/>
        <v>286</v>
      </c>
      <c r="B303" s="330">
        <f t="shared" si="36"/>
        <v>47788</v>
      </c>
      <c r="C303" s="332">
        <f t="shared" si="43"/>
        <v>0</v>
      </c>
      <c r="D303" s="332">
        <f t="shared" si="37"/>
        <v>8863.821186236893</v>
      </c>
      <c r="E303" s="333">
        <f t="shared" si="38"/>
        <v>0</v>
      </c>
      <c r="F303" s="332">
        <f t="shared" si="39"/>
        <v>0</v>
      </c>
      <c r="G303" s="332">
        <f t="shared" si="40"/>
        <v>0</v>
      </c>
      <c r="H303" s="332">
        <f t="shared" si="44"/>
        <v>0</v>
      </c>
      <c r="I303" s="332">
        <f t="shared" si="41"/>
        <v>0</v>
      </c>
      <c r="J303" s="332">
        <f>SUM($H$18:$H303)</f>
        <v>1048912.6143527783</v>
      </c>
    </row>
    <row r="304" spans="1:10" ht="12.75">
      <c r="A304" s="329">
        <f t="shared" si="42"/>
        <v>287</v>
      </c>
      <c r="B304" s="330">
        <f t="shared" si="36"/>
        <v>47818</v>
      </c>
      <c r="C304" s="332">
        <f t="shared" si="43"/>
        <v>0</v>
      </c>
      <c r="D304" s="332">
        <f t="shared" si="37"/>
        <v>8863.821186236893</v>
      </c>
      <c r="E304" s="333">
        <f t="shared" si="38"/>
        <v>0</v>
      </c>
      <c r="F304" s="332">
        <f t="shared" si="39"/>
        <v>0</v>
      </c>
      <c r="G304" s="332">
        <f t="shared" si="40"/>
        <v>0</v>
      </c>
      <c r="H304" s="332">
        <f t="shared" si="44"/>
        <v>0</v>
      </c>
      <c r="I304" s="332">
        <f t="shared" si="41"/>
        <v>0</v>
      </c>
      <c r="J304" s="332">
        <f>SUM($H$18:$H304)</f>
        <v>1048912.6143527783</v>
      </c>
    </row>
    <row r="305" spans="1:10" ht="12.75">
      <c r="A305" s="329">
        <f t="shared" si="42"/>
        <v>288</v>
      </c>
      <c r="B305" s="330">
        <f t="shared" si="36"/>
        <v>47849</v>
      </c>
      <c r="C305" s="332">
        <f t="shared" si="43"/>
        <v>0</v>
      </c>
      <c r="D305" s="332">
        <f t="shared" si="37"/>
        <v>8863.821186236893</v>
      </c>
      <c r="E305" s="333">
        <f t="shared" si="38"/>
        <v>0</v>
      </c>
      <c r="F305" s="332">
        <f t="shared" si="39"/>
        <v>0</v>
      </c>
      <c r="G305" s="332">
        <f t="shared" si="40"/>
        <v>0</v>
      </c>
      <c r="H305" s="332">
        <f t="shared" si="44"/>
        <v>0</v>
      </c>
      <c r="I305" s="332">
        <f t="shared" si="41"/>
        <v>0</v>
      </c>
      <c r="J305" s="332">
        <f>SUM($H$18:$H305)</f>
        <v>1048912.6143527783</v>
      </c>
    </row>
    <row r="306" spans="1:10" ht="12.75">
      <c r="A306" s="329">
        <f t="shared" si="42"/>
        <v>289</v>
      </c>
      <c r="B306" s="330">
        <f t="shared" si="36"/>
        <v>47880</v>
      </c>
      <c r="C306" s="332">
        <f t="shared" si="43"/>
        <v>0</v>
      </c>
      <c r="D306" s="332">
        <f t="shared" si="37"/>
        <v>8863.821186236893</v>
      </c>
      <c r="E306" s="333">
        <f t="shared" si="38"/>
        <v>0</v>
      </c>
      <c r="F306" s="332">
        <f t="shared" si="39"/>
        <v>0</v>
      </c>
      <c r="G306" s="332">
        <f t="shared" si="40"/>
        <v>0</v>
      </c>
      <c r="H306" s="332">
        <f t="shared" si="44"/>
        <v>0</v>
      </c>
      <c r="I306" s="332">
        <f t="shared" si="41"/>
        <v>0</v>
      </c>
      <c r="J306" s="332">
        <f>SUM($H$18:$H306)</f>
        <v>1048912.6143527783</v>
      </c>
    </row>
    <row r="307" spans="1:10" ht="12.75">
      <c r="A307" s="329">
        <f t="shared" si="42"/>
        <v>290</v>
      </c>
      <c r="B307" s="330">
        <f t="shared" si="36"/>
        <v>47908</v>
      </c>
      <c r="C307" s="332">
        <f t="shared" si="43"/>
        <v>0</v>
      </c>
      <c r="D307" s="332">
        <f t="shared" si="37"/>
        <v>8863.821186236893</v>
      </c>
      <c r="E307" s="333">
        <f t="shared" si="38"/>
        <v>0</v>
      </c>
      <c r="F307" s="332">
        <f t="shared" si="39"/>
        <v>0</v>
      </c>
      <c r="G307" s="332">
        <f t="shared" si="40"/>
        <v>0</v>
      </c>
      <c r="H307" s="332">
        <f t="shared" si="44"/>
        <v>0</v>
      </c>
      <c r="I307" s="332">
        <f t="shared" si="41"/>
        <v>0</v>
      </c>
      <c r="J307" s="332">
        <f>SUM($H$18:$H307)</f>
        <v>1048912.6143527783</v>
      </c>
    </row>
    <row r="308" spans="1:10" ht="12.75">
      <c r="A308" s="329">
        <f t="shared" si="42"/>
        <v>291</v>
      </c>
      <c r="B308" s="330">
        <f t="shared" si="36"/>
        <v>47939</v>
      </c>
      <c r="C308" s="332">
        <f t="shared" si="43"/>
        <v>0</v>
      </c>
      <c r="D308" s="332">
        <f t="shared" si="37"/>
        <v>8863.821186236893</v>
      </c>
      <c r="E308" s="333">
        <f t="shared" si="38"/>
        <v>0</v>
      </c>
      <c r="F308" s="332">
        <f t="shared" si="39"/>
        <v>0</v>
      </c>
      <c r="G308" s="332">
        <f t="shared" si="40"/>
        <v>0</v>
      </c>
      <c r="H308" s="332">
        <f t="shared" si="44"/>
        <v>0</v>
      </c>
      <c r="I308" s="332">
        <f t="shared" si="41"/>
        <v>0</v>
      </c>
      <c r="J308" s="332">
        <f>SUM($H$18:$H308)</f>
        <v>1048912.6143527783</v>
      </c>
    </row>
    <row r="309" spans="1:10" ht="12.75">
      <c r="A309" s="329">
        <f t="shared" si="42"/>
        <v>292</v>
      </c>
      <c r="B309" s="330">
        <f t="shared" si="36"/>
        <v>47969</v>
      </c>
      <c r="C309" s="332">
        <f t="shared" si="43"/>
        <v>0</v>
      </c>
      <c r="D309" s="332">
        <f t="shared" si="37"/>
        <v>8863.821186236893</v>
      </c>
      <c r="E309" s="333">
        <f t="shared" si="38"/>
        <v>0</v>
      </c>
      <c r="F309" s="332">
        <f t="shared" si="39"/>
        <v>0</v>
      </c>
      <c r="G309" s="332">
        <f t="shared" si="40"/>
        <v>0</v>
      </c>
      <c r="H309" s="332">
        <f t="shared" si="44"/>
        <v>0</v>
      </c>
      <c r="I309" s="332">
        <f t="shared" si="41"/>
        <v>0</v>
      </c>
      <c r="J309" s="332">
        <f>SUM($H$18:$H309)</f>
        <v>1048912.6143527783</v>
      </c>
    </row>
    <row r="310" spans="1:10" ht="12.75">
      <c r="A310" s="329">
        <f t="shared" si="42"/>
        <v>293</v>
      </c>
      <c r="B310" s="330">
        <f t="shared" si="36"/>
        <v>48000</v>
      </c>
      <c r="C310" s="332">
        <f t="shared" si="43"/>
        <v>0</v>
      </c>
      <c r="D310" s="332">
        <f t="shared" si="37"/>
        <v>8863.821186236893</v>
      </c>
      <c r="E310" s="333">
        <f t="shared" si="38"/>
        <v>0</v>
      </c>
      <c r="F310" s="332">
        <f t="shared" si="39"/>
        <v>0</v>
      </c>
      <c r="G310" s="332">
        <f t="shared" si="40"/>
        <v>0</v>
      </c>
      <c r="H310" s="332">
        <f t="shared" si="44"/>
        <v>0</v>
      </c>
      <c r="I310" s="332">
        <f t="shared" si="41"/>
        <v>0</v>
      </c>
      <c r="J310" s="332">
        <f>SUM($H$18:$H310)</f>
        <v>1048912.6143527783</v>
      </c>
    </row>
    <row r="311" spans="1:10" ht="12.75">
      <c r="A311" s="329">
        <f t="shared" si="42"/>
        <v>294</v>
      </c>
      <c r="B311" s="330">
        <f t="shared" si="36"/>
        <v>48030</v>
      </c>
      <c r="C311" s="332">
        <f t="shared" si="43"/>
        <v>0</v>
      </c>
      <c r="D311" s="332">
        <f t="shared" si="37"/>
        <v>8863.821186236893</v>
      </c>
      <c r="E311" s="333">
        <f t="shared" si="38"/>
        <v>0</v>
      </c>
      <c r="F311" s="332">
        <f t="shared" si="39"/>
        <v>0</v>
      </c>
      <c r="G311" s="332">
        <f t="shared" si="40"/>
        <v>0</v>
      </c>
      <c r="H311" s="332">
        <f t="shared" si="44"/>
        <v>0</v>
      </c>
      <c r="I311" s="332">
        <f t="shared" si="41"/>
        <v>0</v>
      </c>
      <c r="J311" s="332">
        <f>SUM($H$18:$H311)</f>
        <v>1048912.6143527783</v>
      </c>
    </row>
    <row r="312" spans="1:10" ht="12.75">
      <c r="A312" s="329">
        <f t="shared" si="42"/>
        <v>295</v>
      </c>
      <c r="B312" s="330">
        <f t="shared" si="36"/>
        <v>48061</v>
      </c>
      <c r="C312" s="332">
        <f t="shared" si="43"/>
        <v>0</v>
      </c>
      <c r="D312" s="332">
        <f t="shared" si="37"/>
        <v>8863.821186236893</v>
      </c>
      <c r="E312" s="333">
        <f t="shared" si="38"/>
        <v>0</v>
      </c>
      <c r="F312" s="332">
        <f t="shared" si="39"/>
        <v>0</v>
      </c>
      <c r="G312" s="332">
        <f t="shared" si="40"/>
        <v>0</v>
      </c>
      <c r="H312" s="332">
        <f t="shared" si="44"/>
        <v>0</v>
      </c>
      <c r="I312" s="332">
        <f t="shared" si="41"/>
        <v>0</v>
      </c>
      <c r="J312" s="332">
        <f>SUM($H$18:$H312)</f>
        <v>1048912.6143527783</v>
      </c>
    </row>
    <row r="313" spans="1:10" ht="12.75">
      <c r="A313" s="329">
        <f t="shared" si="42"/>
        <v>296</v>
      </c>
      <c r="B313" s="330">
        <f t="shared" si="36"/>
        <v>48092</v>
      </c>
      <c r="C313" s="332">
        <f t="shared" si="43"/>
        <v>0</v>
      </c>
      <c r="D313" s="332">
        <f t="shared" si="37"/>
        <v>8863.821186236893</v>
      </c>
      <c r="E313" s="333">
        <f t="shared" si="38"/>
        <v>0</v>
      </c>
      <c r="F313" s="332">
        <f t="shared" si="39"/>
        <v>0</v>
      </c>
      <c r="G313" s="332">
        <f t="shared" si="40"/>
        <v>0</v>
      </c>
      <c r="H313" s="332">
        <f t="shared" si="44"/>
        <v>0</v>
      </c>
      <c r="I313" s="332">
        <f t="shared" si="41"/>
        <v>0</v>
      </c>
      <c r="J313" s="332">
        <f>SUM($H$18:$H313)</f>
        <v>1048912.6143527783</v>
      </c>
    </row>
    <row r="314" spans="1:10" ht="12.75">
      <c r="A314" s="329">
        <f t="shared" si="42"/>
        <v>297</v>
      </c>
      <c r="B314" s="330">
        <f t="shared" si="36"/>
        <v>48122</v>
      </c>
      <c r="C314" s="332">
        <f t="shared" si="43"/>
        <v>0</v>
      </c>
      <c r="D314" s="332">
        <f t="shared" si="37"/>
        <v>8863.821186236893</v>
      </c>
      <c r="E314" s="333">
        <f t="shared" si="38"/>
        <v>0</v>
      </c>
      <c r="F314" s="332">
        <f t="shared" si="39"/>
        <v>0</v>
      </c>
      <c r="G314" s="332">
        <f t="shared" si="40"/>
        <v>0</v>
      </c>
      <c r="H314" s="332">
        <f t="shared" si="44"/>
        <v>0</v>
      </c>
      <c r="I314" s="332">
        <f t="shared" si="41"/>
        <v>0</v>
      </c>
      <c r="J314" s="332">
        <f>SUM($H$18:$H314)</f>
        <v>1048912.6143527783</v>
      </c>
    </row>
    <row r="315" spans="1:10" ht="12.75">
      <c r="A315" s="329">
        <f t="shared" si="42"/>
        <v>298</v>
      </c>
      <c r="B315" s="330">
        <f t="shared" si="36"/>
        <v>48153</v>
      </c>
      <c r="C315" s="332">
        <f t="shared" si="43"/>
        <v>0</v>
      </c>
      <c r="D315" s="332">
        <f t="shared" si="37"/>
        <v>8863.821186236893</v>
      </c>
      <c r="E315" s="333">
        <f t="shared" si="38"/>
        <v>0</v>
      </c>
      <c r="F315" s="332">
        <f t="shared" si="39"/>
        <v>0</v>
      </c>
      <c r="G315" s="332">
        <f t="shared" si="40"/>
        <v>0</v>
      </c>
      <c r="H315" s="332">
        <f t="shared" si="44"/>
        <v>0</v>
      </c>
      <c r="I315" s="332">
        <f t="shared" si="41"/>
        <v>0</v>
      </c>
      <c r="J315" s="332">
        <f>SUM($H$18:$H315)</f>
        <v>1048912.6143527783</v>
      </c>
    </row>
    <row r="316" spans="1:10" ht="12.75">
      <c r="A316" s="329">
        <f t="shared" si="42"/>
        <v>299</v>
      </c>
      <c r="B316" s="330">
        <f t="shared" si="36"/>
        <v>48183</v>
      </c>
      <c r="C316" s="332">
        <f t="shared" si="43"/>
        <v>0</v>
      </c>
      <c r="D316" s="332">
        <f t="shared" si="37"/>
        <v>8863.821186236893</v>
      </c>
      <c r="E316" s="333">
        <f t="shared" si="38"/>
        <v>0</v>
      </c>
      <c r="F316" s="332">
        <f t="shared" si="39"/>
        <v>0</v>
      </c>
      <c r="G316" s="332">
        <f t="shared" si="40"/>
        <v>0</v>
      </c>
      <c r="H316" s="332">
        <f t="shared" si="44"/>
        <v>0</v>
      </c>
      <c r="I316" s="332">
        <f t="shared" si="41"/>
        <v>0</v>
      </c>
      <c r="J316" s="332">
        <f>SUM($H$18:$H316)</f>
        <v>1048912.6143527783</v>
      </c>
    </row>
    <row r="317" spans="1:10" ht="12.75">
      <c r="A317" s="329">
        <f t="shared" si="42"/>
        <v>300</v>
      </c>
      <c r="B317" s="330">
        <f t="shared" si="36"/>
        <v>48214</v>
      </c>
      <c r="C317" s="332">
        <f t="shared" si="43"/>
        <v>0</v>
      </c>
      <c r="D317" s="332">
        <f t="shared" si="37"/>
        <v>8863.821186236893</v>
      </c>
      <c r="E317" s="333">
        <f t="shared" si="38"/>
        <v>0</v>
      </c>
      <c r="F317" s="332">
        <f t="shared" si="39"/>
        <v>0</v>
      </c>
      <c r="G317" s="332">
        <f t="shared" si="40"/>
        <v>0</v>
      </c>
      <c r="H317" s="332">
        <f t="shared" si="44"/>
        <v>0</v>
      </c>
      <c r="I317" s="332">
        <f t="shared" si="41"/>
        <v>0</v>
      </c>
      <c r="J317" s="332">
        <f>SUM($H$18:$H317)</f>
        <v>1048912.6143527783</v>
      </c>
    </row>
    <row r="318" spans="1:10" ht="12.75">
      <c r="A318" s="329">
        <f t="shared" si="42"/>
        <v>301</v>
      </c>
      <c r="B318" s="330">
        <f t="shared" si="36"/>
        <v>48245</v>
      </c>
      <c r="C318" s="332">
        <f t="shared" si="43"/>
        <v>0</v>
      </c>
      <c r="D318" s="332">
        <f t="shared" si="37"/>
        <v>8863.821186236893</v>
      </c>
      <c r="E318" s="333">
        <f t="shared" si="38"/>
        <v>0</v>
      </c>
      <c r="F318" s="332">
        <f t="shared" si="39"/>
        <v>0</v>
      </c>
      <c r="G318" s="332">
        <f t="shared" si="40"/>
        <v>0</v>
      </c>
      <c r="H318" s="332">
        <f t="shared" si="44"/>
        <v>0</v>
      </c>
      <c r="I318" s="332">
        <f t="shared" si="41"/>
        <v>0</v>
      </c>
      <c r="J318" s="332">
        <f>SUM($H$18:$H318)</f>
        <v>1048912.6143527783</v>
      </c>
    </row>
    <row r="319" spans="1:10" ht="12.75">
      <c r="A319" s="329">
        <f t="shared" si="42"/>
        <v>302</v>
      </c>
      <c r="B319" s="330">
        <f t="shared" si="36"/>
        <v>48274</v>
      </c>
      <c r="C319" s="332">
        <f t="shared" si="43"/>
        <v>0</v>
      </c>
      <c r="D319" s="332">
        <f t="shared" si="37"/>
        <v>8863.821186236893</v>
      </c>
      <c r="E319" s="333">
        <f t="shared" si="38"/>
        <v>0</v>
      </c>
      <c r="F319" s="332">
        <f t="shared" si="39"/>
        <v>0</v>
      </c>
      <c r="G319" s="332">
        <f t="shared" si="40"/>
        <v>0</v>
      </c>
      <c r="H319" s="332">
        <f t="shared" si="44"/>
        <v>0</v>
      </c>
      <c r="I319" s="332">
        <f t="shared" si="41"/>
        <v>0</v>
      </c>
      <c r="J319" s="332">
        <f>SUM($H$18:$H319)</f>
        <v>1048912.6143527783</v>
      </c>
    </row>
    <row r="320" spans="1:10" ht="12.75">
      <c r="A320" s="329">
        <f t="shared" si="42"/>
        <v>303</v>
      </c>
      <c r="B320" s="330">
        <f t="shared" si="36"/>
        <v>48305</v>
      </c>
      <c r="C320" s="332">
        <f t="shared" si="43"/>
        <v>0</v>
      </c>
      <c r="D320" s="332">
        <f t="shared" si="37"/>
        <v>8863.821186236893</v>
      </c>
      <c r="E320" s="333">
        <f t="shared" si="38"/>
        <v>0</v>
      </c>
      <c r="F320" s="332">
        <f t="shared" si="39"/>
        <v>0</v>
      </c>
      <c r="G320" s="332">
        <f t="shared" si="40"/>
        <v>0</v>
      </c>
      <c r="H320" s="332">
        <f t="shared" si="44"/>
        <v>0</v>
      </c>
      <c r="I320" s="332">
        <f t="shared" si="41"/>
        <v>0</v>
      </c>
      <c r="J320" s="332">
        <f>SUM($H$18:$H320)</f>
        <v>1048912.6143527783</v>
      </c>
    </row>
    <row r="321" spans="1:10" ht="12.75">
      <c r="A321" s="329">
        <f t="shared" si="42"/>
        <v>304</v>
      </c>
      <c r="B321" s="330">
        <f t="shared" si="36"/>
        <v>48335</v>
      </c>
      <c r="C321" s="332">
        <f t="shared" si="43"/>
        <v>0</v>
      </c>
      <c r="D321" s="332">
        <f t="shared" si="37"/>
        <v>8863.821186236893</v>
      </c>
      <c r="E321" s="333">
        <f t="shared" si="38"/>
        <v>0</v>
      </c>
      <c r="F321" s="332">
        <f t="shared" si="39"/>
        <v>0</v>
      </c>
      <c r="G321" s="332">
        <f t="shared" si="40"/>
        <v>0</v>
      </c>
      <c r="H321" s="332">
        <f t="shared" si="44"/>
        <v>0</v>
      </c>
      <c r="I321" s="332">
        <f t="shared" si="41"/>
        <v>0</v>
      </c>
      <c r="J321" s="332">
        <f>SUM($H$18:$H321)</f>
        <v>1048912.6143527783</v>
      </c>
    </row>
    <row r="322" spans="1:10" ht="12.75">
      <c r="A322" s="329">
        <f t="shared" si="42"/>
        <v>305</v>
      </c>
      <c r="B322" s="330">
        <f t="shared" si="36"/>
        <v>48366</v>
      </c>
      <c r="C322" s="332">
        <f t="shared" si="43"/>
        <v>0</v>
      </c>
      <c r="D322" s="332">
        <f t="shared" si="37"/>
        <v>8863.821186236893</v>
      </c>
      <c r="E322" s="333">
        <f t="shared" si="38"/>
        <v>0</v>
      </c>
      <c r="F322" s="332">
        <f t="shared" si="39"/>
        <v>0</v>
      </c>
      <c r="G322" s="332">
        <f t="shared" si="40"/>
        <v>0</v>
      </c>
      <c r="H322" s="332">
        <f t="shared" si="44"/>
        <v>0</v>
      </c>
      <c r="I322" s="332">
        <f t="shared" si="41"/>
        <v>0</v>
      </c>
      <c r="J322" s="332">
        <f>SUM($H$18:$H322)</f>
        <v>1048912.6143527783</v>
      </c>
    </row>
    <row r="323" spans="1:10" ht="12.75">
      <c r="A323" s="329">
        <f t="shared" si="42"/>
        <v>306</v>
      </c>
      <c r="B323" s="330">
        <f t="shared" si="36"/>
        <v>48396</v>
      </c>
      <c r="C323" s="332">
        <f t="shared" si="43"/>
        <v>0</v>
      </c>
      <c r="D323" s="332">
        <f t="shared" si="37"/>
        <v>8863.821186236893</v>
      </c>
      <c r="E323" s="333">
        <f t="shared" si="38"/>
        <v>0</v>
      </c>
      <c r="F323" s="332">
        <f t="shared" si="39"/>
        <v>0</v>
      </c>
      <c r="G323" s="332">
        <f t="shared" si="40"/>
        <v>0</v>
      </c>
      <c r="H323" s="332">
        <f t="shared" si="44"/>
        <v>0</v>
      </c>
      <c r="I323" s="332">
        <f t="shared" si="41"/>
        <v>0</v>
      </c>
      <c r="J323" s="332">
        <f>SUM($H$18:$H323)</f>
        <v>1048912.6143527783</v>
      </c>
    </row>
    <row r="324" spans="1:10" ht="12.75">
      <c r="A324" s="329">
        <f t="shared" si="42"/>
        <v>307</v>
      </c>
      <c r="B324" s="330">
        <f t="shared" si="36"/>
        <v>48427</v>
      </c>
      <c r="C324" s="332">
        <f t="shared" si="43"/>
        <v>0</v>
      </c>
      <c r="D324" s="332">
        <f t="shared" si="37"/>
        <v>8863.821186236893</v>
      </c>
      <c r="E324" s="333">
        <f t="shared" si="38"/>
        <v>0</v>
      </c>
      <c r="F324" s="332">
        <f t="shared" si="39"/>
        <v>0</v>
      </c>
      <c r="G324" s="332">
        <f t="shared" si="40"/>
        <v>0</v>
      </c>
      <c r="H324" s="332">
        <f t="shared" si="44"/>
        <v>0</v>
      </c>
      <c r="I324" s="332">
        <f t="shared" si="41"/>
        <v>0</v>
      </c>
      <c r="J324" s="332">
        <f>SUM($H$18:$H324)</f>
        <v>1048912.6143527783</v>
      </c>
    </row>
    <row r="325" spans="1:10" ht="12.75">
      <c r="A325" s="329">
        <f t="shared" si="42"/>
        <v>308</v>
      </c>
      <c r="B325" s="330">
        <f t="shared" si="36"/>
        <v>48458</v>
      </c>
      <c r="C325" s="332">
        <f t="shared" si="43"/>
        <v>0</v>
      </c>
      <c r="D325" s="332">
        <f t="shared" si="37"/>
        <v>8863.821186236893</v>
      </c>
      <c r="E325" s="333">
        <f t="shared" si="38"/>
        <v>0</v>
      </c>
      <c r="F325" s="332">
        <f t="shared" si="39"/>
        <v>0</v>
      </c>
      <c r="G325" s="332">
        <f t="shared" si="40"/>
        <v>0</v>
      </c>
      <c r="H325" s="332">
        <f t="shared" si="44"/>
        <v>0</v>
      </c>
      <c r="I325" s="332">
        <f t="shared" si="41"/>
        <v>0</v>
      </c>
      <c r="J325" s="332">
        <f>SUM($H$18:$H325)</f>
        <v>1048912.6143527783</v>
      </c>
    </row>
    <row r="326" spans="1:10" ht="12.75">
      <c r="A326" s="329">
        <f t="shared" si="42"/>
        <v>309</v>
      </c>
      <c r="B326" s="330">
        <f t="shared" si="36"/>
        <v>48488</v>
      </c>
      <c r="C326" s="332">
        <f t="shared" si="43"/>
        <v>0</v>
      </c>
      <c r="D326" s="332">
        <f t="shared" si="37"/>
        <v>8863.821186236893</v>
      </c>
      <c r="E326" s="333">
        <f t="shared" si="38"/>
        <v>0</v>
      </c>
      <c r="F326" s="332">
        <f t="shared" si="39"/>
        <v>0</v>
      </c>
      <c r="G326" s="332">
        <f t="shared" si="40"/>
        <v>0</v>
      </c>
      <c r="H326" s="332">
        <f t="shared" si="44"/>
        <v>0</v>
      </c>
      <c r="I326" s="332">
        <f t="shared" si="41"/>
        <v>0</v>
      </c>
      <c r="J326" s="332">
        <f>SUM($H$18:$H326)</f>
        <v>1048912.6143527783</v>
      </c>
    </row>
    <row r="327" spans="1:10" ht="12.75">
      <c r="A327" s="329">
        <f t="shared" si="42"/>
        <v>310</v>
      </c>
      <c r="B327" s="330">
        <f t="shared" si="36"/>
        <v>48519</v>
      </c>
      <c r="C327" s="332">
        <f t="shared" si="43"/>
        <v>0</v>
      </c>
      <c r="D327" s="332">
        <f t="shared" si="37"/>
        <v>8863.821186236893</v>
      </c>
      <c r="E327" s="333">
        <f t="shared" si="38"/>
        <v>0</v>
      </c>
      <c r="F327" s="332">
        <f t="shared" si="39"/>
        <v>0</v>
      </c>
      <c r="G327" s="332">
        <f t="shared" si="40"/>
        <v>0</v>
      </c>
      <c r="H327" s="332">
        <f t="shared" si="44"/>
        <v>0</v>
      </c>
      <c r="I327" s="332">
        <f t="shared" si="41"/>
        <v>0</v>
      </c>
      <c r="J327" s="332">
        <f>SUM($H$18:$H327)</f>
        <v>1048912.6143527783</v>
      </c>
    </row>
    <row r="328" spans="1:10" ht="12.75">
      <c r="A328" s="329">
        <f t="shared" si="42"/>
        <v>311</v>
      </c>
      <c r="B328" s="330">
        <f t="shared" si="36"/>
        <v>48549</v>
      </c>
      <c r="C328" s="332">
        <f t="shared" si="43"/>
        <v>0</v>
      </c>
      <c r="D328" s="332">
        <f t="shared" si="37"/>
        <v>8863.821186236893</v>
      </c>
      <c r="E328" s="333">
        <f t="shared" si="38"/>
        <v>0</v>
      </c>
      <c r="F328" s="332">
        <f t="shared" si="39"/>
        <v>0</v>
      </c>
      <c r="G328" s="332">
        <f t="shared" si="40"/>
        <v>0</v>
      </c>
      <c r="H328" s="332">
        <f t="shared" si="44"/>
        <v>0</v>
      </c>
      <c r="I328" s="332">
        <f t="shared" si="41"/>
        <v>0</v>
      </c>
      <c r="J328" s="332">
        <f>SUM($H$18:$H328)</f>
        <v>1048912.6143527783</v>
      </c>
    </row>
    <row r="329" spans="1:10" ht="12.75">
      <c r="A329" s="329">
        <f t="shared" si="42"/>
        <v>312</v>
      </c>
      <c r="B329" s="330">
        <f t="shared" si="36"/>
        <v>48580</v>
      </c>
      <c r="C329" s="332">
        <f t="shared" si="43"/>
        <v>0</v>
      </c>
      <c r="D329" s="332">
        <f t="shared" si="37"/>
        <v>8863.821186236893</v>
      </c>
      <c r="E329" s="333">
        <f t="shared" si="38"/>
        <v>0</v>
      </c>
      <c r="F329" s="332">
        <f t="shared" si="39"/>
        <v>0</v>
      </c>
      <c r="G329" s="332">
        <f t="shared" si="40"/>
        <v>0</v>
      </c>
      <c r="H329" s="332">
        <f t="shared" si="44"/>
        <v>0</v>
      </c>
      <c r="I329" s="332">
        <f t="shared" si="41"/>
        <v>0</v>
      </c>
      <c r="J329" s="332">
        <f>SUM($H$18:$H329)</f>
        <v>1048912.6143527783</v>
      </c>
    </row>
    <row r="330" spans="1:10" ht="12.75">
      <c r="A330" s="329">
        <f t="shared" si="42"/>
        <v>313</v>
      </c>
      <c r="B330" s="330">
        <f t="shared" si="36"/>
        <v>48611</v>
      </c>
      <c r="C330" s="332">
        <f t="shared" si="43"/>
        <v>0</v>
      </c>
      <c r="D330" s="332">
        <f t="shared" si="37"/>
        <v>8863.821186236893</v>
      </c>
      <c r="E330" s="333">
        <f t="shared" si="38"/>
        <v>0</v>
      </c>
      <c r="F330" s="332">
        <f t="shared" si="39"/>
        <v>0</v>
      </c>
      <c r="G330" s="332">
        <f t="shared" si="40"/>
        <v>0</v>
      </c>
      <c r="H330" s="332">
        <f t="shared" si="44"/>
        <v>0</v>
      </c>
      <c r="I330" s="332">
        <f t="shared" si="41"/>
        <v>0</v>
      </c>
      <c r="J330" s="332">
        <f>SUM($H$18:$H330)</f>
        <v>1048912.6143527783</v>
      </c>
    </row>
    <row r="331" spans="1:10" ht="12.75">
      <c r="A331" s="329">
        <f t="shared" si="42"/>
        <v>314</v>
      </c>
      <c r="B331" s="330">
        <f t="shared" si="36"/>
        <v>48639</v>
      </c>
      <c r="C331" s="332">
        <f t="shared" si="43"/>
        <v>0</v>
      </c>
      <c r="D331" s="332">
        <f t="shared" si="37"/>
        <v>8863.821186236893</v>
      </c>
      <c r="E331" s="333">
        <f t="shared" si="38"/>
        <v>0</v>
      </c>
      <c r="F331" s="332">
        <f t="shared" si="39"/>
        <v>0</v>
      </c>
      <c r="G331" s="332">
        <f t="shared" si="40"/>
        <v>0</v>
      </c>
      <c r="H331" s="332">
        <f t="shared" si="44"/>
        <v>0</v>
      </c>
      <c r="I331" s="332">
        <f t="shared" si="41"/>
        <v>0</v>
      </c>
      <c r="J331" s="332">
        <f>SUM($H$18:$H331)</f>
        <v>1048912.6143527783</v>
      </c>
    </row>
    <row r="332" spans="1:10" ht="12.75">
      <c r="A332" s="329">
        <f t="shared" si="42"/>
        <v>315</v>
      </c>
      <c r="B332" s="330">
        <f t="shared" si="36"/>
        <v>48670</v>
      </c>
      <c r="C332" s="332">
        <f t="shared" si="43"/>
        <v>0</v>
      </c>
      <c r="D332" s="332">
        <f t="shared" si="37"/>
        <v>8863.821186236893</v>
      </c>
      <c r="E332" s="333">
        <f t="shared" si="38"/>
        <v>0</v>
      </c>
      <c r="F332" s="332">
        <f t="shared" si="39"/>
        <v>0</v>
      </c>
      <c r="G332" s="332">
        <f t="shared" si="40"/>
        <v>0</v>
      </c>
      <c r="H332" s="332">
        <f t="shared" si="44"/>
        <v>0</v>
      </c>
      <c r="I332" s="332">
        <f t="shared" si="41"/>
        <v>0</v>
      </c>
      <c r="J332" s="332">
        <f>SUM($H$18:$H332)</f>
        <v>1048912.6143527783</v>
      </c>
    </row>
    <row r="333" spans="1:10" ht="12.75">
      <c r="A333" s="329">
        <f t="shared" si="42"/>
        <v>316</v>
      </c>
      <c r="B333" s="330">
        <f t="shared" si="36"/>
        <v>48700</v>
      </c>
      <c r="C333" s="332">
        <f t="shared" si="43"/>
        <v>0</v>
      </c>
      <c r="D333" s="332">
        <f t="shared" si="37"/>
        <v>8863.821186236893</v>
      </c>
      <c r="E333" s="333">
        <f t="shared" si="38"/>
        <v>0</v>
      </c>
      <c r="F333" s="332">
        <f t="shared" si="39"/>
        <v>0</v>
      </c>
      <c r="G333" s="332">
        <f t="shared" si="40"/>
        <v>0</v>
      </c>
      <c r="H333" s="332">
        <f t="shared" si="44"/>
        <v>0</v>
      </c>
      <c r="I333" s="332">
        <f t="shared" si="41"/>
        <v>0</v>
      </c>
      <c r="J333" s="332">
        <f>SUM($H$18:$H333)</f>
        <v>1048912.6143527783</v>
      </c>
    </row>
    <row r="334" spans="1:10" ht="12.75">
      <c r="A334" s="329">
        <f t="shared" si="42"/>
        <v>317</v>
      </c>
      <c r="B334" s="330">
        <f t="shared" si="36"/>
        <v>48731</v>
      </c>
      <c r="C334" s="332">
        <f t="shared" si="43"/>
        <v>0</v>
      </c>
      <c r="D334" s="332">
        <f t="shared" si="37"/>
        <v>8863.821186236893</v>
      </c>
      <c r="E334" s="333">
        <f t="shared" si="38"/>
        <v>0</v>
      </c>
      <c r="F334" s="332">
        <f t="shared" si="39"/>
        <v>0</v>
      </c>
      <c r="G334" s="332">
        <f t="shared" si="40"/>
        <v>0</v>
      </c>
      <c r="H334" s="332">
        <f t="shared" si="44"/>
        <v>0</v>
      </c>
      <c r="I334" s="332">
        <f t="shared" si="41"/>
        <v>0</v>
      </c>
      <c r="J334" s="332">
        <f>SUM($H$18:$H334)</f>
        <v>1048912.6143527783</v>
      </c>
    </row>
    <row r="335" spans="1:10" ht="12.75">
      <c r="A335" s="329">
        <f t="shared" si="42"/>
        <v>318</v>
      </c>
      <c r="B335" s="330">
        <f t="shared" si="36"/>
        <v>48761</v>
      </c>
      <c r="C335" s="332">
        <f t="shared" si="43"/>
        <v>0</v>
      </c>
      <c r="D335" s="332">
        <f t="shared" si="37"/>
        <v>8863.821186236893</v>
      </c>
      <c r="E335" s="333">
        <f t="shared" si="38"/>
        <v>0</v>
      </c>
      <c r="F335" s="332">
        <f t="shared" si="39"/>
        <v>0</v>
      </c>
      <c r="G335" s="332">
        <f t="shared" si="40"/>
        <v>0</v>
      </c>
      <c r="H335" s="332">
        <f t="shared" si="44"/>
        <v>0</v>
      </c>
      <c r="I335" s="332">
        <f t="shared" si="41"/>
        <v>0</v>
      </c>
      <c r="J335" s="332">
        <f>SUM($H$18:$H335)</f>
        <v>1048912.6143527783</v>
      </c>
    </row>
    <row r="336" spans="1:10" ht="12.75">
      <c r="A336" s="329">
        <f t="shared" si="42"/>
        <v>319</v>
      </c>
      <c r="B336" s="330">
        <f t="shared" si="36"/>
        <v>48792</v>
      </c>
      <c r="C336" s="332">
        <f t="shared" si="43"/>
        <v>0</v>
      </c>
      <c r="D336" s="332">
        <f t="shared" si="37"/>
        <v>8863.821186236893</v>
      </c>
      <c r="E336" s="333">
        <f t="shared" si="38"/>
        <v>0</v>
      </c>
      <c r="F336" s="332">
        <f t="shared" si="39"/>
        <v>0</v>
      </c>
      <c r="G336" s="332">
        <f t="shared" si="40"/>
        <v>0</v>
      </c>
      <c r="H336" s="332">
        <f t="shared" si="44"/>
        <v>0</v>
      </c>
      <c r="I336" s="332">
        <f t="shared" si="41"/>
        <v>0</v>
      </c>
      <c r="J336" s="332">
        <f>SUM($H$18:$H336)</f>
        <v>1048912.6143527783</v>
      </c>
    </row>
    <row r="337" spans="1:10" ht="12.75">
      <c r="A337" s="329">
        <f t="shared" si="42"/>
        <v>320</v>
      </c>
      <c r="B337" s="330">
        <f t="shared" si="36"/>
        <v>48823</v>
      </c>
      <c r="C337" s="332">
        <f t="shared" si="43"/>
        <v>0</v>
      </c>
      <c r="D337" s="332">
        <f t="shared" si="37"/>
        <v>8863.821186236893</v>
      </c>
      <c r="E337" s="333">
        <f t="shared" si="38"/>
        <v>0</v>
      </c>
      <c r="F337" s="332">
        <f t="shared" si="39"/>
        <v>0</v>
      </c>
      <c r="G337" s="332">
        <f t="shared" si="40"/>
        <v>0</v>
      </c>
      <c r="H337" s="332">
        <f t="shared" si="44"/>
        <v>0</v>
      </c>
      <c r="I337" s="332">
        <f t="shared" si="41"/>
        <v>0</v>
      </c>
      <c r="J337" s="332">
        <f>SUM($H$18:$H337)</f>
        <v>1048912.6143527783</v>
      </c>
    </row>
    <row r="338" spans="1:10" ht="12.75">
      <c r="A338" s="329">
        <f t="shared" si="42"/>
        <v>321</v>
      </c>
      <c r="B338" s="330">
        <f aca="true" t="shared" si="45" ref="B338:B377">IF(Pay_Num_3&lt;&gt;"",DATE(YEAR(Loan_Start_3),MONTH(Loan_Start_3)+(Pay_Num_3)*12/Num_Pmt_Per_Year_3,DAY(Loan_Start_3)),"")</f>
        <v>48853</v>
      </c>
      <c r="C338" s="332">
        <f t="shared" si="43"/>
        <v>0</v>
      </c>
      <c r="D338" s="332">
        <f aca="true" t="shared" si="46" ref="D338:D377">IF(Pay_Num_3&lt;&gt;"",Scheduled_Monthly_Payment_3,"")</f>
        <v>8863.821186236893</v>
      </c>
      <c r="E338" s="333">
        <f aca="true" t="shared" si="47" ref="E338:E377">IF(AND(Pay_Num_3&lt;&gt;"",Sched_Pay_3+Scheduled_Extra_Payments_3&lt;Beg_Bal_3),Scheduled_Extra_Payments_3,IF(AND(Pay_Num_3&lt;&gt;"",Beg_Bal_3-Sched_Pay_3&gt;0),Beg_Bal_3-Sched_Pay_3,IF(Pay_Num_3&lt;&gt;"",0,"")))</f>
        <v>0</v>
      </c>
      <c r="F338" s="332">
        <f aca="true" t="shared" si="48" ref="F338:F377">IF(AND(Pay_Num_3&lt;&gt;"",Sched_Pay_3+Extra_Pay_3&lt;Beg_Bal_3),Sched_Pay_3+Extra_Pay_3,IF(Pay_Num_3&lt;&gt;"",Beg_Bal_3,""))</f>
        <v>0</v>
      </c>
      <c r="G338" s="332">
        <f aca="true" t="shared" si="49" ref="G338:G377">IF(Pay_Num_3&lt;&gt;"",Total_Pay_3-Int_3,"")</f>
        <v>0</v>
      </c>
      <c r="H338" s="332">
        <f t="shared" si="44"/>
        <v>0</v>
      </c>
      <c r="I338" s="332">
        <f aca="true" t="shared" si="50" ref="I338:I377">IF(AND(Pay_Num_3&lt;&gt;"",Sched_Pay_3+Extra_Pay_3&lt;Beg_Bal_3),Beg_Bal_3-Princ_3,IF(Pay_Num_3&lt;&gt;"",0,""))</f>
        <v>0</v>
      </c>
      <c r="J338" s="332">
        <f>SUM($H$18:$H338)</f>
        <v>1048912.6143527783</v>
      </c>
    </row>
    <row r="339" spans="1:10" ht="12.75">
      <c r="A339" s="329">
        <f aca="true" t="shared" si="51" ref="A339:A377">IF(Values_Entered_3,A338+1,"")</f>
        <v>322</v>
      </c>
      <c r="B339" s="330">
        <f t="shared" si="45"/>
        <v>48884</v>
      </c>
      <c r="C339" s="332">
        <f aca="true" t="shared" si="52" ref="C339:C377">IF(Pay_Num_3&lt;&gt;"",I338,"")</f>
        <v>0</v>
      </c>
      <c r="D339" s="332">
        <f t="shared" si="46"/>
        <v>8863.821186236893</v>
      </c>
      <c r="E339" s="333">
        <f t="shared" si="47"/>
        <v>0</v>
      </c>
      <c r="F339" s="332">
        <f t="shared" si="48"/>
        <v>0</v>
      </c>
      <c r="G339" s="332">
        <f t="shared" si="49"/>
        <v>0</v>
      </c>
      <c r="H339" s="332">
        <f aca="true" t="shared" si="53" ref="H339:H377">IF(Pay_Num_3&lt;&gt;"",Beg_Bal_3*Interest_Rate_3/Num_Pmt_Per_Year_3,"")</f>
        <v>0</v>
      </c>
      <c r="I339" s="332">
        <f t="shared" si="50"/>
        <v>0</v>
      </c>
      <c r="J339" s="332">
        <f>SUM($H$18:$H339)</f>
        <v>1048912.6143527783</v>
      </c>
    </row>
    <row r="340" spans="1:10" ht="12.75">
      <c r="A340" s="329">
        <f t="shared" si="51"/>
        <v>323</v>
      </c>
      <c r="B340" s="330">
        <f t="shared" si="45"/>
        <v>48914</v>
      </c>
      <c r="C340" s="332">
        <f t="shared" si="52"/>
        <v>0</v>
      </c>
      <c r="D340" s="332">
        <f t="shared" si="46"/>
        <v>8863.821186236893</v>
      </c>
      <c r="E340" s="333">
        <f t="shared" si="47"/>
        <v>0</v>
      </c>
      <c r="F340" s="332">
        <f t="shared" si="48"/>
        <v>0</v>
      </c>
      <c r="G340" s="332">
        <f t="shared" si="49"/>
        <v>0</v>
      </c>
      <c r="H340" s="332">
        <f t="shared" si="53"/>
        <v>0</v>
      </c>
      <c r="I340" s="332">
        <f t="shared" si="50"/>
        <v>0</v>
      </c>
      <c r="J340" s="332">
        <f>SUM($H$18:$H340)</f>
        <v>1048912.6143527783</v>
      </c>
    </row>
    <row r="341" spans="1:10" ht="12.75">
      <c r="A341" s="329">
        <f t="shared" si="51"/>
        <v>324</v>
      </c>
      <c r="B341" s="330">
        <f t="shared" si="45"/>
        <v>48945</v>
      </c>
      <c r="C341" s="332">
        <f t="shared" si="52"/>
        <v>0</v>
      </c>
      <c r="D341" s="332">
        <f t="shared" si="46"/>
        <v>8863.821186236893</v>
      </c>
      <c r="E341" s="333">
        <f t="shared" si="47"/>
        <v>0</v>
      </c>
      <c r="F341" s="332">
        <f t="shared" si="48"/>
        <v>0</v>
      </c>
      <c r="G341" s="332">
        <f t="shared" si="49"/>
        <v>0</v>
      </c>
      <c r="H341" s="332">
        <f t="shared" si="53"/>
        <v>0</v>
      </c>
      <c r="I341" s="332">
        <f t="shared" si="50"/>
        <v>0</v>
      </c>
      <c r="J341" s="332">
        <f>SUM($H$18:$H341)</f>
        <v>1048912.6143527783</v>
      </c>
    </row>
    <row r="342" spans="1:10" ht="12.75">
      <c r="A342" s="329">
        <f t="shared" si="51"/>
        <v>325</v>
      </c>
      <c r="B342" s="330">
        <f t="shared" si="45"/>
        <v>48976</v>
      </c>
      <c r="C342" s="332">
        <f t="shared" si="52"/>
        <v>0</v>
      </c>
      <c r="D342" s="332">
        <f t="shared" si="46"/>
        <v>8863.821186236893</v>
      </c>
      <c r="E342" s="333">
        <f t="shared" si="47"/>
        <v>0</v>
      </c>
      <c r="F342" s="332">
        <f t="shared" si="48"/>
        <v>0</v>
      </c>
      <c r="G342" s="332">
        <f t="shared" si="49"/>
        <v>0</v>
      </c>
      <c r="H342" s="332">
        <f t="shared" si="53"/>
        <v>0</v>
      </c>
      <c r="I342" s="332">
        <f t="shared" si="50"/>
        <v>0</v>
      </c>
      <c r="J342" s="332">
        <f>SUM($H$18:$H342)</f>
        <v>1048912.6143527783</v>
      </c>
    </row>
    <row r="343" spans="1:10" ht="12.75">
      <c r="A343" s="329">
        <f t="shared" si="51"/>
        <v>326</v>
      </c>
      <c r="B343" s="330">
        <f t="shared" si="45"/>
        <v>49004</v>
      </c>
      <c r="C343" s="332">
        <f t="shared" si="52"/>
        <v>0</v>
      </c>
      <c r="D343" s="332">
        <f t="shared" si="46"/>
        <v>8863.821186236893</v>
      </c>
      <c r="E343" s="333">
        <f t="shared" si="47"/>
        <v>0</v>
      </c>
      <c r="F343" s="332">
        <f t="shared" si="48"/>
        <v>0</v>
      </c>
      <c r="G343" s="332">
        <f t="shared" si="49"/>
        <v>0</v>
      </c>
      <c r="H343" s="332">
        <f t="shared" si="53"/>
        <v>0</v>
      </c>
      <c r="I343" s="332">
        <f t="shared" si="50"/>
        <v>0</v>
      </c>
      <c r="J343" s="332">
        <f>SUM($H$18:$H343)</f>
        <v>1048912.6143527783</v>
      </c>
    </row>
    <row r="344" spans="1:10" ht="12.75">
      <c r="A344" s="329">
        <f t="shared" si="51"/>
        <v>327</v>
      </c>
      <c r="B344" s="330">
        <f t="shared" si="45"/>
        <v>49035</v>
      </c>
      <c r="C344" s="332">
        <f t="shared" si="52"/>
        <v>0</v>
      </c>
      <c r="D344" s="332">
        <f t="shared" si="46"/>
        <v>8863.821186236893</v>
      </c>
      <c r="E344" s="333">
        <f t="shared" si="47"/>
        <v>0</v>
      </c>
      <c r="F344" s="332">
        <f t="shared" si="48"/>
        <v>0</v>
      </c>
      <c r="G344" s="332">
        <f t="shared" si="49"/>
        <v>0</v>
      </c>
      <c r="H344" s="332">
        <f t="shared" si="53"/>
        <v>0</v>
      </c>
      <c r="I344" s="332">
        <f t="shared" si="50"/>
        <v>0</v>
      </c>
      <c r="J344" s="332">
        <f>SUM($H$18:$H344)</f>
        <v>1048912.6143527783</v>
      </c>
    </row>
    <row r="345" spans="1:10" ht="12.75">
      <c r="A345" s="329">
        <f t="shared" si="51"/>
        <v>328</v>
      </c>
      <c r="B345" s="330">
        <f t="shared" si="45"/>
        <v>49065</v>
      </c>
      <c r="C345" s="332">
        <f t="shared" si="52"/>
        <v>0</v>
      </c>
      <c r="D345" s="332">
        <f t="shared" si="46"/>
        <v>8863.821186236893</v>
      </c>
      <c r="E345" s="333">
        <f t="shared" si="47"/>
        <v>0</v>
      </c>
      <c r="F345" s="332">
        <f t="shared" si="48"/>
        <v>0</v>
      </c>
      <c r="G345" s="332">
        <f t="shared" si="49"/>
        <v>0</v>
      </c>
      <c r="H345" s="332">
        <f t="shared" si="53"/>
        <v>0</v>
      </c>
      <c r="I345" s="332">
        <f t="shared" si="50"/>
        <v>0</v>
      </c>
      <c r="J345" s="332">
        <f>SUM($H$18:$H345)</f>
        <v>1048912.6143527783</v>
      </c>
    </row>
    <row r="346" spans="1:10" ht="12.75">
      <c r="A346" s="329">
        <f t="shared" si="51"/>
        <v>329</v>
      </c>
      <c r="B346" s="330">
        <f t="shared" si="45"/>
        <v>49096</v>
      </c>
      <c r="C346" s="332">
        <f t="shared" si="52"/>
        <v>0</v>
      </c>
      <c r="D346" s="332">
        <f t="shared" si="46"/>
        <v>8863.821186236893</v>
      </c>
      <c r="E346" s="333">
        <f t="shared" si="47"/>
        <v>0</v>
      </c>
      <c r="F346" s="332">
        <f t="shared" si="48"/>
        <v>0</v>
      </c>
      <c r="G346" s="332">
        <f t="shared" si="49"/>
        <v>0</v>
      </c>
      <c r="H346" s="332">
        <f t="shared" si="53"/>
        <v>0</v>
      </c>
      <c r="I346" s="332">
        <f t="shared" si="50"/>
        <v>0</v>
      </c>
      <c r="J346" s="332">
        <f>SUM($H$18:$H346)</f>
        <v>1048912.6143527783</v>
      </c>
    </row>
    <row r="347" spans="1:10" ht="12.75">
      <c r="A347" s="329">
        <f t="shared" si="51"/>
        <v>330</v>
      </c>
      <c r="B347" s="330">
        <f t="shared" si="45"/>
        <v>49126</v>
      </c>
      <c r="C347" s="332">
        <f t="shared" si="52"/>
        <v>0</v>
      </c>
      <c r="D347" s="332">
        <f t="shared" si="46"/>
        <v>8863.821186236893</v>
      </c>
      <c r="E347" s="333">
        <f t="shared" si="47"/>
        <v>0</v>
      </c>
      <c r="F347" s="332">
        <f t="shared" si="48"/>
        <v>0</v>
      </c>
      <c r="G347" s="332">
        <f t="shared" si="49"/>
        <v>0</v>
      </c>
      <c r="H347" s="332">
        <f t="shared" si="53"/>
        <v>0</v>
      </c>
      <c r="I347" s="332">
        <f t="shared" si="50"/>
        <v>0</v>
      </c>
      <c r="J347" s="332">
        <f>SUM($H$18:$H347)</f>
        <v>1048912.6143527783</v>
      </c>
    </row>
    <row r="348" spans="1:10" ht="12.75">
      <c r="A348" s="329">
        <f t="shared" si="51"/>
        <v>331</v>
      </c>
      <c r="B348" s="330">
        <f t="shared" si="45"/>
        <v>49157</v>
      </c>
      <c r="C348" s="332">
        <f t="shared" si="52"/>
        <v>0</v>
      </c>
      <c r="D348" s="332">
        <f t="shared" si="46"/>
        <v>8863.821186236893</v>
      </c>
      <c r="E348" s="333">
        <f t="shared" si="47"/>
        <v>0</v>
      </c>
      <c r="F348" s="332">
        <f t="shared" si="48"/>
        <v>0</v>
      </c>
      <c r="G348" s="332">
        <f t="shared" si="49"/>
        <v>0</v>
      </c>
      <c r="H348" s="332">
        <f t="shared" si="53"/>
        <v>0</v>
      </c>
      <c r="I348" s="332">
        <f t="shared" si="50"/>
        <v>0</v>
      </c>
      <c r="J348" s="332">
        <f>SUM($H$18:$H348)</f>
        <v>1048912.6143527783</v>
      </c>
    </row>
    <row r="349" spans="1:10" ht="12.75">
      <c r="A349" s="329">
        <f t="shared" si="51"/>
        <v>332</v>
      </c>
      <c r="B349" s="330">
        <f t="shared" si="45"/>
        <v>49188</v>
      </c>
      <c r="C349" s="332">
        <f t="shared" si="52"/>
        <v>0</v>
      </c>
      <c r="D349" s="332">
        <f t="shared" si="46"/>
        <v>8863.821186236893</v>
      </c>
      <c r="E349" s="333">
        <f t="shared" si="47"/>
        <v>0</v>
      </c>
      <c r="F349" s="332">
        <f t="shared" si="48"/>
        <v>0</v>
      </c>
      <c r="G349" s="332">
        <f t="shared" si="49"/>
        <v>0</v>
      </c>
      <c r="H349" s="332">
        <f t="shared" si="53"/>
        <v>0</v>
      </c>
      <c r="I349" s="332">
        <f t="shared" si="50"/>
        <v>0</v>
      </c>
      <c r="J349" s="332">
        <f>SUM($H$18:$H349)</f>
        <v>1048912.6143527783</v>
      </c>
    </row>
    <row r="350" spans="1:10" ht="12.75">
      <c r="A350" s="329">
        <f t="shared" si="51"/>
        <v>333</v>
      </c>
      <c r="B350" s="330">
        <f t="shared" si="45"/>
        <v>49218</v>
      </c>
      <c r="C350" s="332">
        <f t="shared" si="52"/>
        <v>0</v>
      </c>
      <c r="D350" s="332">
        <f t="shared" si="46"/>
        <v>8863.821186236893</v>
      </c>
      <c r="E350" s="333">
        <f t="shared" si="47"/>
        <v>0</v>
      </c>
      <c r="F350" s="332">
        <f t="shared" si="48"/>
        <v>0</v>
      </c>
      <c r="G350" s="332">
        <f t="shared" si="49"/>
        <v>0</v>
      </c>
      <c r="H350" s="332">
        <f t="shared" si="53"/>
        <v>0</v>
      </c>
      <c r="I350" s="332">
        <f t="shared" si="50"/>
        <v>0</v>
      </c>
      <c r="J350" s="332">
        <f>SUM($H$18:$H350)</f>
        <v>1048912.6143527783</v>
      </c>
    </row>
    <row r="351" spans="1:10" ht="12.75">
      <c r="A351" s="329">
        <f t="shared" si="51"/>
        <v>334</v>
      </c>
      <c r="B351" s="330">
        <f t="shared" si="45"/>
        <v>49249</v>
      </c>
      <c r="C351" s="332">
        <f t="shared" si="52"/>
        <v>0</v>
      </c>
      <c r="D351" s="332">
        <f t="shared" si="46"/>
        <v>8863.821186236893</v>
      </c>
      <c r="E351" s="333">
        <f t="shared" si="47"/>
        <v>0</v>
      </c>
      <c r="F351" s="332">
        <f t="shared" si="48"/>
        <v>0</v>
      </c>
      <c r="G351" s="332">
        <f t="shared" si="49"/>
        <v>0</v>
      </c>
      <c r="H351" s="332">
        <f t="shared" si="53"/>
        <v>0</v>
      </c>
      <c r="I351" s="332">
        <f t="shared" si="50"/>
        <v>0</v>
      </c>
      <c r="J351" s="332">
        <f>SUM($H$18:$H351)</f>
        <v>1048912.6143527783</v>
      </c>
    </row>
    <row r="352" spans="1:10" ht="12.75">
      <c r="A352" s="329">
        <f t="shared" si="51"/>
        <v>335</v>
      </c>
      <c r="B352" s="330">
        <f t="shared" si="45"/>
        <v>49279</v>
      </c>
      <c r="C352" s="332">
        <f t="shared" si="52"/>
        <v>0</v>
      </c>
      <c r="D352" s="332">
        <f t="shared" si="46"/>
        <v>8863.821186236893</v>
      </c>
      <c r="E352" s="333">
        <f t="shared" si="47"/>
        <v>0</v>
      </c>
      <c r="F352" s="332">
        <f t="shared" si="48"/>
        <v>0</v>
      </c>
      <c r="G352" s="332">
        <f t="shared" si="49"/>
        <v>0</v>
      </c>
      <c r="H352" s="332">
        <f t="shared" si="53"/>
        <v>0</v>
      </c>
      <c r="I352" s="332">
        <f t="shared" si="50"/>
        <v>0</v>
      </c>
      <c r="J352" s="332">
        <f>SUM($H$18:$H352)</f>
        <v>1048912.6143527783</v>
      </c>
    </row>
    <row r="353" spans="1:10" ht="12.75">
      <c r="A353" s="329">
        <f t="shared" si="51"/>
        <v>336</v>
      </c>
      <c r="B353" s="330">
        <f t="shared" si="45"/>
        <v>49310</v>
      </c>
      <c r="C353" s="332">
        <f t="shared" si="52"/>
        <v>0</v>
      </c>
      <c r="D353" s="332">
        <f t="shared" si="46"/>
        <v>8863.821186236893</v>
      </c>
      <c r="E353" s="333">
        <f t="shared" si="47"/>
        <v>0</v>
      </c>
      <c r="F353" s="332">
        <f t="shared" si="48"/>
        <v>0</v>
      </c>
      <c r="G353" s="332">
        <f t="shared" si="49"/>
        <v>0</v>
      </c>
      <c r="H353" s="332">
        <f t="shared" si="53"/>
        <v>0</v>
      </c>
      <c r="I353" s="332">
        <f t="shared" si="50"/>
        <v>0</v>
      </c>
      <c r="J353" s="332">
        <f>SUM($H$18:$H353)</f>
        <v>1048912.6143527783</v>
      </c>
    </row>
    <row r="354" spans="1:10" ht="12.75">
      <c r="A354" s="329">
        <f t="shared" si="51"/>
        <v>337</v>
      </c>
      <c r="B354" s="330">
        <f t="shared" si="45"/>
        <v>49341</v>
      </c>
      <c r="C354" s="332">
        <f t="shared" si="52"/>
        <v>0</v>
      </c>
      <c r="D354" s="332">
        <f t="shared" si="46"/>
        <v>8863.821186236893</v>
      </c>
      <c r="E354" s="333">
        <f t="shared" si="47"/>
        <v>0</v>
      </c>
      <c r="F354" s="332">
        <f t="shared" si="48"/>
        <v>0</v>
      </c>
      <c r="G354" s="332">
        <f t="shared" si="49"/>
        <v>0</v>
      </c>
      <c r="H354" s="332">
        <f t="shared" si="53"/>
        <v>0</v>
      </c>
      <c r="I354" s="332">
        <f t="shared" si="50"/>
        <v>0</v>
      </c>
      <c r="J354" s="332">
        <f>SUM($H$18:$H354)</f>
        <v>1048912.6143527783</v>
      </c>
    </row>
    <row r="355" spans="1:10" ht="12.75">
      <c r="A355" s="329">
        <f t="shared" si="51"/>
        <v>338</v>
      </c>
      <c r="B355" s="330">
        <f t="shared" si="45"/>
        <v>49369</v>
      </c>
      <c r="C355" s="332">
        <f t="shared" si="52"/>
        <v>0</v>
      </c>
      <c r="D355" s="332">
        <f t="shared" si="46"/>
        <v>8863.821186236893</v>
      </c>
      <c r="E355" s="333">
        <f t="shared" si="47"/>
        <v>0</v>
      </c>
      <c r="F355" s="332">
        <f t="shared" si="48"/>
        <v>0</v>
      </c>
      <c r="G355" s="332">
        <f t="shared" si="49"/>
        <v>0</v>
      </c>
      <c r="H355" s="332">
        <f t="shared" si="53"/>
        <v>0</v>
      </c>
      <c r="I355" s="332">
        <f t="shared" si="50"/>
        <v>0</v>
      </c>
      <c r="J355" s="332">
        <f>SUM($H$18:$H355)</f>
        <v>1048912.6143527783</v>
      </c>
    </row>
    <row r="356" spans="1:10" ht="12.75">
      <c r="A356" s="329">
        <f t="shared" si="51"/>
        <v>339</v>
      </c>
      <c r="B356" s="330">
        <f t="shared" si="45"/>
        <v>49400</v>
      </c>
      <c r="C356" s="332">
        <f t="shared" si="52"/>
        <v>0</v>
      </c>
      <c r="D356" s="332">
        <f t="shared" si="46"/>
        <v>8863.821186236893</v>
      </c>
      <c r="E356" s="333">
        <f t="shared" si="47"/>
        <v>0</v>
      </c>
      <c r="F356" s="332">
        <f t="shared" si="48"/>
        <v>0</v>
      </c>
      <c r="G356" s="332">
        <f t="shared" si="49"/>
        <v>0</v>
      </c>
      <c r="H356" s="332">
        <f t="shared" si="53"/>
        <v>0</v>
      </c>
      <c r="I356" s="332">
        <f t="shared" si="50"/>
        <v>0</v>
      </c>
      <c r="J356" s="332">
        <f>SUM($H$18:$H356)</f>
        <v>1048912.6143527783</v>
      </c>
    </row>
    <row r="357" spans="1:10" ht="12.75">
      <c r="A357" s="329">
        <f t="shared" si="51"/>
        <v>340</v>
      </c>
      <c r="B357" s="330">
        <f t="shared" si="45"/>
        <v>49430</v>
      </c>
      <c r="C357" s="332">
        <f t="shared" si="52"/>
        <v>0</v>
      </c>
      <c r="D357" s="332">
        <f t="shared" si="46"/>
        <v>8863.821186236893</v>
      </c>
      <c r="E357" s="333">
        <f t="shared" si="47"/>
        <v>0</v>
      </c>
      <c r="F357" s="332">
        <f t="shared" si="48"/>
        <v>0</v>
      </c>
      <c r="G357" s="332">
        <f t="shared" si="49"/>
        <v>0</v>
      </c>
      <c r="H357" s="332">
        <f t="shared" si="53"/>
        <v>0</v>
      </c>
      <c r="I357" s="332">
        <f t="shared" si="50"/>
        <v>0</v>
      </c>
      <c r="J357" s="332">
        <f>SUM($H$18:$H357)</f>
        <v>1048912.6143527783</v>
      </c>
    </row>
    <row r="358" spans="1:10" ht="12.75">
      <c r="A358" s="329">
        <f t="shared" si="51"/>
        <v>341</v>
      </c>
      <c r="B358" s="330">
        <f t="shared" si="45"/>
        <v>49461</v>
      </c>
      <c r="C358" s="332">
        <f t="shared" si="52"/>
        <v>0</v>
      </c>
      <c r="D358" s="332">
        <f t="shared" si="46"/>
        <v>8863.821186236893</v>
      </c>
      <c r="E358" s="333">
        <f t="shared" si="47"/>
        <v>0</v>
      </c>
      <c r="F358" s="332">
        <f t="shared" si="48"/>
        <v>0</v>
      </c>
      <c r="G358" s="332">
        <f t="shared" si="49"/>
        <v>0</v>
      </c>
      <c r="H358" s="332">
        <f t="shared" si="53"/>
        <v>0</v>
      </c>
      <c r="I358" s="332">
        <f t="shared" si="50"/>
        <v>0</v>
      </c>
      <c r="J358" s="332">
        <f>SUM($H$18:$H358)</f>
        <v>1048912.6143527783</v>
      </c>
    </row>
    <row r="359" spans="1:10" ht="12.75">
      <c r="A359" s="329">
        <f t="shared" si="51"/>
        <v>342</v>
      </c>
      <c r="B359" s="330">
        <f t="shared" si="45"/>
        <v>49491</v>
      </c>
      <c r="C359" s="332">
        <f t="shared" si="52"/>
        <v>0</v>
      </c>
      <c r="D359" s="332">
        <f t="shared" si="46"/>
        <v>8863.821186236893</v>
      </c>
      <c r="E359" s="333">
        <f t="shared" si="47"/>
        <v>0</v>
      </c>
      <c r="F359" s="332">
        <f t="shared" si="48"/>
        <v>0</v>
      </c>
      <c r="G359" s="332">
        <f t="shared" si="49"/>
        <v>0</v>
      </c>
      <c r="H359" s="332">
        <f t="shared" si="53"/>
        <v>0</v>
      </c>
      <c r="I359" s="332">
        <f t="shared" si="50"/>
        <v>0</v>
      </c>
      <c r="J359" s="332">
        <f>SUM($H$18:$H359)</f>
        <v>1048912.6143527783</v>
      </c>
    </row>
    <row r="360" spans="1:10" ht="12.75">
      <c r="A360" s="329">
        <f t="shared" si="51"/>
        <v>343</v>
      </c>
      <c r="B360" s="330">
        <f t="shared" si="45"/>
        <v>49522</v>
      </c>
      <c r="C360" s="332">
        <f t="shared" si="52"/>
        <v>0</v>
      </c>
      <c r="D360" s="332">
        <f t="shared" si="46"/>
        <v>8863.821186236893</v>
      </c>
      <c r="E360" s="333">
        <f t="shared" si="47"/>
        <v>0</v>
      </c>
      <c r="F360" s="332">
        <f t="shared" si="48"/>
        <v>0</v>
      </c>
      <c r="G360" s="332">
        <f t="shared" si="49"/>
        <v>0</v>
      </c>
      <c r="H360" s="332">
        <f t="shared" si="53"/>
        <v>0</v>
      </c>
      <c r="I360" s="332">
        <f t="shared" si="50"/>
        <v>0</v>
      </c>
      <c r="J360" s="332">
        <f>SUM($H$18:$H360)</f>
        <v>1048912.6143527783</v>
      </c>
    </row>
    <row r="361" spans="1:10" ht="12.75">
      <c r="A361" s="329">
        <f t="shared" si="51"/>
        <v>344</v>
      </c>
      <c r="B361" s="330">
        <f t="shared" si="45"/>
        <v>49553</v>
      </c>
      <c r="C361" s="332">
        <f t="shared" si="52"/>
        <v>0</v>
      </c>
      <c r="D361" s="332">
        <f t="shared" si="46"/>
        <v>8863.821186236893</v>
      </c>
      <c r="E361" s="333">
        <f t="shared" si="47"/>
        <v>0</v>
      </c>
      <c r="F361" s="332">
        <f t="shared" si="48"/>
        <v>0</v>
      </c>
      <c r="G361" s="332">
        <f t="shared" si="49"/>
        <v>0</v>
      </c>
      <c r="H361" s="332">
        <f t="shared" si="53"/>
        <v>0</v>
      </c>
      <c r="I361" s="332">
        <f t="shared" si="50"/>
        <v>0</v>
      </c>
      <c r="J361" s="332">
        <f>SUM($H$18:$H361)</f>
        <v>1048912.6143527783</v>
      </c>
    </row>
    <row r="362" spans="1:10" ht="12.75">
      <c r="A362" s="329">
        <f t="shared" si="51"/>
        <v>345</v>
      </c>
      <c r="B362" s="330">
        <f t="shared" si="45"/>
        <v>49583</v>
      </c>
      <c r="C362" s="332">
        <f t="shared" si="52"/>
        <v>0</v>
      </c>
      <c r="D362" s="332">
        <f t="shared" si="46"/>
        <v>8863.821186236893</v>
      </c>
      <c r="E362" s="333">
        <f t="shared" si="47"/>
        <v>0</v>
      </c>
      <c r="F362" s="332">
        <f t="shared" si="48"/>
        <v>0</v>
      </c>
      <c r="G362" s="332">
        <f t="shared" si="49"/>
        <v>0</v>
      </c>
      <c r="H362" s="332">
        <f t="shared" si="53"/>
        <v>0</v>
      </c>
      <c r="I362" s="332">
        <f t="shared" si="50"/>
        <v>0</v>
      </c>
      <c r="J362" s="332">
        <f>SUM($H$18:$H362)</f>
        <v>1048912.6143527783</v>
      </c>
    </row>
    <row r="363" spans="1:10" ht="12.75">
      <c r="A363" s="329">
        <f t="shared" si="51"/>
        <v>346</v>
      </c>
      <c r="B363" s="330">
        <f t="shared" si="45"/>
        <v>49614</v>
      </c>
      <c r="C363" s="332">
        <f t="shared" si="52"/>
        <v>0</v>
      </c>
      <c r="D363" s="332">
        <f t="shared" si="46"/>
        <v>8863.821186236893</v>
      </c>
      <c r="E363" s="333">
        <f t="shared" si="47"/>
        <v>0</v>
      </c>
      <c r="F363" s="332">
        <f t="shared" si="48"/>
        <v>0</v>
      </c>
      <c r="G363" s="332">
        <f t="shared" si="49"/>
        <v>0</v>
      </c>
      <c r="H363" s="332">
        <f t="shared" si="53"/>
        <v>0</v>
      </c>
      <c r="I363" s="332">
        <f t="shared" si="50"/>
        <v>0</v>
      </c>
      <c r="J363" s="332">
        <f>SUM($H$18:$H363)</f>
        <v>1048912.6143527783</v>
      </c>
    </row>
    <row r="364" spans="1:10" ht="12.75">
      <c r="A364" s="329">
        <f t="shared" si="51"/>
        <v>347</v>
      </c>
      <c r="B364" s="330">
        <f t="shared" si="45"/>
        <v>49644</v>
      </c>
      <c r="C364" s="332">
        <f t="shared" si="52"/>
        <v>0</v>
      </c>
      <c r="D364" s="332">
        <f t="shared" si="46"/>
        <v>8863.821186236893</v>
      </c>
      <c r="E364" s="333">
        <f t="shared" si="47"/>
        <v>0</v>
      </c>
      <c r="F364" s="332">
        <f t="shared" si="48"/>
        <v>0</v>
      </c>
      <c r="G364" s="332">
        <f t="shared" si="49"/>
        <v>0</v>
      </c>
      <c r="H364" s="332">
        <f t="shared" si="53"/>
        <v>0</v>
      </c>
      <c r="I364" s="332">
        <f t="shared" si="50"/>
        <v>0</v>
      </c>
      <c r="J364" s="332">
        <f>SUM($H$18:$H364)</f>
        <v>1048912.6143527783</v>
      </c>
    </row>
    <row r="365" spans="1:10" ht="12.75">
      <c r="A365" s="329">
        <f t="shared" si="51"/>
        <v>348</v>
      </c>
      <c r="B365" s="330">
        <f t="shared" si="45"/>
        <v>49675</v>
      </c>
      <c r="C365" s="332">
        <f t="shared" si="52"/>
        <v>0</v>
      </c>
      <c r="D365" s="332">
        <f t="shared" si="46"/>
        <v>8863.821186236893</v>
      </c>
      <c r="E365" s="333">
        <f t="shared" si="47"/>
        <v>0</v>
      </c>
      <c r="F365" s="332">
        <f t="shared" si="48"/>
        <v>0</v>
      </c>
      <c r="G365" s="332">
        <f t="shared" si="49"/>
        <v>0</v>
      </c>
      <c r="H365" s="332">
        <f t="shared" si="53"/>
        <v>0</v>
      </c>
      <c r="I365" s="332">
        <f t="shared" si="50"/>
        <v>0</v>
      </c>
      <c r="J365" s="332">
        <f>SUM($H$18:$H365)</f>
        <v>1048912.6143527783</v>
      </c>
    </row>
    <row r="366" spans="1:10" ht="12.75">
      <c r="A366" s="329">
        <f t="shared" si="51"/>
        <v>349</v>
      </c>
      <c r="B366" s="330">
        <f t="shared" si="45"/>
        <v>49706</v>
      </c>
      <c r="C366" s="332">
        <f t="shared" si="52"/>
        <v>0</v>
      </c>
      <c r="D366" s="332">
        <f t="shared" si="46"/>
        <v>8863.821186236893</v>
      </c>
      <c r="E366" s="333">
        <f t="shared" si="47"/>
        <v>0</v>
      </c>
      <c r="F366" s="332">
        <f t="shared" si="48"/>
        <v>0</v>
      </c>
      <c r="G366" s="332">
        <f t="shared" si="49"/>
        <v>0</v>
      </c>
      <c r="H366" s="332">
        <f t="shared" si="53"/>
        <v>0</v>
      </c>
      <c r="I366" s="332">
        <f t="shared" si="50"/>
        <v>0</v>
      </c>
      <c r="J366" s="332">
        <f>SUM($H$18:$H366)</f>
        <v>1048912.6143527783</v>
      </c>
    </row>
    <row r="367" spans="1:10" ht="12.75">
      <c r="A367" s="329">
        <f t="shared" si="51"/>
        <v>350</v>
      </c>
      <c r="B367" s="330">
        <f t="shared" si="45"/>
        <v>49735</v>
      </c>
      <c r="C367" s="332">
        <f t="shared" si="52"/>
        <v>0</v>
      </c>
      <c r="D367" s="332">
        <f t="shared" si="46"/>
        <v>8863.821186236893</v>
      </c>
      <c r="E367" s="333">
        <f t="shared" si="47"/>
        <v>0</v>
      </c>
      <c r="F367" s="332">
        <f t="shared" si="48"/>
        <v>0</v>
      </c>
      <c r="G367" s="332">
        <f t="shared" si="49"/>
        <v>0</v>
      </c>
      <c r="H367" s="332">
        <f t="shared" si="53"/>
        <v>0</v>
      </c>
      <c r="I367" s="332">
        <f t="shared" si="50"/>
        <v>0</v>
      </c>
      <c r="J367" s="332">
        <f>SUM($H$18:$H367)</f>
        <v>1048912.6143527783</v>
      </c>
    </row>
    <row r="368" spans="1:10" ht="12.75">
      <c r="A368" s="329">
        <f t="shared" si="51"/>
        <v>351</v>
      </c>
      <c r="B368" s="330">
        <f t="shared" si="45"/>
        <v>49766</v>
      </c>
      <c r="C368" s="332">
        <f t="shared" si="52"/>
        <v>0</v>
      </c>
      <c r="D368" s="332">
        <f t="shared" si="46"/>
        <v>8863.821186236893</v>
      </c>
      <c r="E368" s="333">
        <f t="shared" si="47"/>
        <v>0</v>
      </c>
      <c r="F368" s="332">
        <f t="shared" si="48"/>
        <v>0</v>
      </c>
      <c r="G368" s="332">
        <f t="shared" si="49"/>
        <v>0</v>
      </c>
      <c r="H368" s="332">
        <f t="shared" si="53"/>
        <v>0</v>
      </c>
      <c r="I368" s="332">
        <f t="shared" si="50"/>
        <v>0</v>
      </c>
      <c r="J368" s="332">
        <f>SUM($H$18:$H368)</f>
        <v>1048912.6143527783</v>
      </c>
    </row>
    <row r="369" spans="1:10" ht="12.75">
      <c r="A369" s="329">
        <f t="shared" si="51"/>
        <v>352</v>
      </c>
      <c r="B369" s="330">
        <f t="shared" si="45"/>
        <v>49796</v>
      </c>
      <c r="C369" s="332">
        <f t="shared" si="52"/>
        <v>0</v>
      </c>
      <c r="D369" s="332">
        <f t="shared" si="46"/>
        <v>8863.821186236893</v>
      </c>
      <c r="E369" s="333">
        <f t="shared" si="47"/>
        <v>0</v>
      </c>
      <c r="F369" s="332">
        <f t="shared" si="48"/>
        <v>0</v>
      </c>
      <c r="G369" s="332">
        <f t="shared" si="49"/>
        <v>0</v>
      </c>
      <c r="H369" s="332">
        <f t="shared" si="53"/>
        <v>0</v>
      </c>
      <c r="I369" s="332">
        <f t="shared" si="50"/>
        <v>0</v>
      </c>
      <c r="J369" s="332">
        <f>SUM($H$18:$H369)</f>
        <v>1048912.6143527783</v>
      </c>
    </row>
    <row r="370" spans="1:10" ht="12.75">
      <c r="A370" s="329">
        <f t="shared" si="51"/>
        <v>353</v>
      </c>
      <c r="B370" s="330">
        <f t="shared" si="45"/>
        <v>49827</v>
      </c>
      <c r="C370" s="332">
        <f t="shared" si="52"/>
        <v>0</v>
      </c>
      <c r="D370" s="332">
        <f t="shared" si="46"/>
        <v>8863.821186236893</v>
      </c>
      <c r="E370" s="333">
        <f t="shared" si="47"/>
        <v>0</v>
      </c>
      <c r="F370" s="332">
        <f t="shared" si="48"/>
        <v>0</v>
      </c>
      <c r="G370" s="332">
        <f t="shared" si="49"/>
        <v>0</v>
      </c>
      <c r="H370" s="332">
        <f t="shared" si="53"/>
        <v>0</v>
      </c>
      <c r="I370" s="332">
        <f t="shared" si="50"/>
        <v>0</v>
      </c>
      <c r="J370" s="332">
        <f>SUM($H$18:$H370)</f>
        <v>1048912.6143527783</v>
      </c>
    </row>
    <row r="371" spans="1:10" ht="12.75">
      <c r="A371" s="329">
        <f t="shared" si="51"/>
        <v>354</v>
      </c>
      <c r="B371" s="330">
        <f t="shared" si="45"/>
        <v>49857</v>
      </c>
      <c r="C371" s="332">
        <f t="shared" si="52"/>
        <v>0</v>
      </c>
      <c r="D371" s="332">
        <f t="shared" si="46"/>
        <v>8863.821186236893</v>
      </c>
      <c r="E371" s="333">
        <f t="shared" si="47"/>
        <v>0</v>
      </c>
      <c r="F371" s="332">
        <f t="shared" si="48"/>
        <v>0</v>
      </c>
      <c r="G371" s="332">
        <f t="shared" si="49"/>
        <v>0</v>
      </c>
      <c r="H371" s="332">
        <f t="shared" si="53"/>
        <v>0</v>
      </c>
      <c r="I371" s="332">
        <f t="shared" si="50"/>
        <v>0</v>
      </c>
      <c r="J371" s="332">
        <f>SUM($H$18:$H371)</f>
        <v>1048912.6143527783</v>
      </c>
    </row>
    <row r="372" spans="1:10" ht="12.75">
      <c r="A372" s="329">
        <f t="shared" si="51"/>
        <v>355</v>
      </c>
      <c r="B372" s="330">
        <f t="shared" si="45"/>
        <v>49888</v>
      </c>
      <c r="C372" s="332">
        <f t="shared" si="52"/>
        <v>0</v>
      </c>
      <c r="D372" s="332">
        <f t="shared" si="46"/>
        <v>8863.821186236893</v>
      </c>
      <c r="E372" s="333">
        <f t="shared" si="47"/>
        <v>0</v>
      </c>
      <c r="F372" s="332">
        <f t="shared" si="48"/>
        <v>0</v>
      </c>
      <c r="G372" s="332">
        <f t="shared" si="49"/>
        <v>0</v>
      </c>
      <c r="H372" s="332">
        <f t="shared" si="53"/>
        <v>0</v>
      </c>
      <c r="I372" s="332">
        <f t="shared" si="50"/>
        <v>0</v>
      </c>
      <c r="J372" s="332">
        <f>SUM($H$18:$H372)</f>
        <v>1048912.6143527783</v>
      </c>
    </row>
    <row r="373" spans="1:10" ht="12.75">
      <c r="A373" s="329">
        <f t="shared" si="51"/>
        <v>356</v>
      </c>
      <c r="B373" s="330">
        <f t="shared" si="45"/>
        <v>49919</v>
      </c>
      <c r="C373" s="332">
        <f t="shared" si="52"/>
        <v>0</v>
      </c>
      <c r="D373" s="332">
        <f t="shared" si="46"/>
        <v>8863.821186236893</v>
      </c>
      <c r="E373" s="333">
        <f t="shared" si="47"/>
        <v>0</v>
      </c>
      <c r="F373" s="332">
        <f t="shared" si="48"/>
        <v>0</v>
      </c>
      <c r="G373" s="332">
        <f t="shared" si="49"/>
        <v>0</v>
      </c>
      <c r="H373" s="332">
        <f t="shared" si="53"/>
        <v>0</v>
      </c>
      <c r="I373" s="332">
        <f t="shared" si="50"/>
        <v>0</v>
      </c>
      <c r="J373" s="332">
        <f>SUM($H$18:$H373)</f>
        <v>1048912.6143527783</v>
      </c>
    </row>
    <row r="374" spans="1:10" ht="12.75">
      <c r="A374" s="329">
        <f t="shared" si="51"/>
        <v>357</v>
      </c>
      <c r="B374" s="330">
        <f t="shared" si="45"/>
        <v>49949</v>
      </c>
      <c r="C374" s="332">
        <f t="shared" si="52"/>
        <v>0</v>
      </c>
      <c r="D374" s="332">
        <f t="shared" si="46"/>
        <v>8863.821186236893</v>
      </c>
      <c r="E374" s="333">
        <f t="shared" si="47"/>
        <v>0</v>
      </c>
      <c r="F374" s="332">
        <f t="shared" si="48"/>
        <v>0</v>
      </c>
      <c r="G374" s="332">
        <f t="shared" si="49"/>
        <v>0</v>
      </c>
      <c r="H374" s="332">
        <f t="shared" si="53"/>
        <v>0</v>
      </c>
      <c r="I374" s="332">
        <f t="shared" si="50"/>
        <v>0</v>
      </c>
      <c r="J374" s="332">
        <f>SUM($H$18:$H374)</f>
        <v>1048912.6143527783</v>
      </c>
    </row>
    <row r="375" spans="1:10" ht="12.75">
      <c r="A375" s="329">
        <f t="shared" si="51"/>
        <v>358</v>
      </c>
      <c r="B375" s="330">
        <f t="shared" si="45"/>
        <v>49980</v>
      </c>
      <c r="C375" s="332">
        <f t="shared" si="52"/>
        <v>0</v>
      </c>
      <c r="D375" s="332">
        <f t="shared" si="46"/>
        <v>8863.821186236893</v>
      </c>
      <c r="E375" s="333">
        <f t="shared" si="47"/>
        <v>0</v>
      </c>
      <c r="F375" s="332">
        <f t="shared" si="48"/>
        <v>0</v>
      </c>
      <c r="G375" s="332">
        <f t="shared" si="49"/>
        <v>0</v>
      </c>
      <c r="H375" s="332">
        <f t="shared" si="53"/>
        <v>0</v>
      </c>
      <c r="I375" s="332">
        <f t="shared" si="50"/>
        <v>0</v>
      </c>
      <c r="J375" s="332">
        <f>SUM($H$18:$H375)</f>
        <v>1048912.6143527783</v>
      </c>
    </row>
    <row r="376" spans="1:10" ht="12.75">
      <c r="A376" s="329">
        <f t="shared" si="51"/>
        <v>359</v>
      </c>
      <c r="B376" s="330">
        <f t="shared" si="45"/>
        <v>50010</v>
      </c>
      <c r="C376" s="332">
        <f t="shared" si="52"/>
        <v>0</v>
      </c>
      <c r="D376" s="332">
        <f t="shared" si="46"/>
        <v>8863.821186236893</v>
      </c>
      <c r="E376" s="333">
        <f t="shared" si="47"/>
        <v>0</v>
      </c>
      <c r="F376" s="332">
        <f t="shared" si="48"/>
        <v>0</v>
      </c>
      <c r="G376" s="332">
        <f t="shared" si="49"/>
        <v>0</v>
      </c>
      <c r="H376" s="332">
        <f t="shared" si="53"/>
        <v>0</v>
      </c>
      <c r="I376" s="332">
        <f t="shared" si="50"/>
        <v>0</v>
      </c>
      <c r="J376" s="332">
        <f>SUM($H$18:$H376)</f>
        <v>1048912.6143527783</v>
      </c>
    </row>
    <row r="377" spans="1:10" ht="12.75">
      <c r="A377" s="329">
        <f t="shared" si="51"/>
        <v>360</v>
      </c>
      <c r="B377" s="330">
        <f t="shared" si="45"/>
        <v>50041</v>
      </c>
      <c r="C377" s="332">
        <f t="shared" si="52"/>
        <v>0</v>
      </c>
      <c r="D377" s="332">
        <f t="shared" si="46"/>
        <v>8863.821186236893</v>
      </c>
      <c r="E377" s="333">
        <f t="shared" si="47"/>
        <v>0</v>
      </c>
      <c r="F377" s="332">
        <f t="shared" si="48"/>
        <v>0</v>
      </c>
      <c r="G377" s="332">
        <f t="shared" si="49"/>
        <v>0</v>
      </c>
      <c r="H377" s="332">
        <f t="shared" si="53"/>
        <v>0</v>
      </c>
      <c r="I377" s="332">
        <f t="shared" si="50"/>
        <v>0</v>
      </c>
      <c r="J377" s="332">
        <f>SUM($H$18:$H377)</f>
        <v>1048912.6143527783</v>
      </c>
    </row>
  </sheetData>
  <sheetProtection selectLockedCells="1" selectUnlockedCells="1"/>
  <mergeCells count="4">
    <mergeCell ref="A1:D1"/>
    <mergeCell ref="B4:D4"/>
    <mergeCell ref="F4:H4"/>
    <mergeCell ref="C12:D12"/>
  </mergeCells>
  <dataValidations count="3">
    <dataValidation type="whole" allowBlank="1" showErrorMessage="1" errorTitle="Years" error="Please enter a whole number of years from 1 to 30." sqref="D7">
      <formula1>1</formula1>
      <formula2>30</formula2>
    </dataValidation>
    <dataValidation type="date" operator="greaterThanOrEqual" allowBlank="1" showErrorMessage="1" errorTitle="Date" error="Please enter a valid date greater than or equal to January 1, 1900." sqref="D8: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>
      <formula1>0</formula1>
      <formula2>0</formula2>
    </dataValidation>
  </dataValidations>
  <printOptions horizontalCentered="1"/>
  <pageMargins left="0.7479166666666667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Cavenaugh</dc:creator>
  <cp:keywords/>
  <dc:description/>
  <cp:lastModifiedBy>Microsoft Office User</cp:lastModifiedBy>
  <cp:lastPrinted>2015-07-13T19:12:22Z</cp:lastPrinted>
  <dcterms:created xsi:type="dcterms:W3CDTF">2014-09-04T17:07:40Z</dcterms:created>
  <dcterms:modified xsi:type="dcterms:W3CDTF">2016-02-17T19:11:15Z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