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109"/>
  <workbookPr/>
  <mc:AlternateContent xmlns:mc="http://schemas.openxmlformats.org/markup-compatibility/2006">
    <mc:Choice Requires="x15">
      <x15ac:absPath xmlns:x15ac="http://schemas.microsoft.com/office/spreadsheetml/2010/11/ac" url="/Users/annamackay/Desktop/GUERRILLA/18_Tree Farm/05_pro forma/"/>
    </mc:Choice>
  </mc:AlternateContent>
  <bookViews>
    <workbookView xWindow="920" yWindow="460" windowWidth="27060" windowHeight="16420"/>
  </bookViews>
  <sheets>
    <sheet name="Proforma 2" sheetId="1" r:id="rId1"/>
    <sheet name="Soft Costs 2" sheetId="2" r:id="rId2"/>
    <sheet name="Loan Amortization Schedule _2_" sheetId="3"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44" i="2" l="1"/>
  <c r="I51" i="1"/>
  <c r="J51" i="1"/>
  <c r="K51" i="1"/>
  <c r="L51" i="1"/>
  <c r="L61" i="1"/>
  <c r="K61" i="1"/>
  <c r="J61" i="1"/>
  <c r="I61" i="1"/>
  <c r="G61" i="1"/>
  <c r="D8" i="1"/>
  <c r="E8" i="1"/>
  <c r="I13" i="2"/>
  <c r="I43" i="1"/>
  <c r="I6" i="1"/>
  <c r="I57" i="1"/>
  <c r="J57" i="1"/>
  <c r="K57" i="1"/>
  <c r="L57" i="1"/>
  <c r="I37" i="1"/>
  <c r="E18" i="1"/>
  <c r="E17" i="1"/>
  <c r="E33" i="1"/>
  <c r="E23" i="1"/>
  <c r="D23" i="1"/>
  <c r="D20" i="1"/>
  <c r="D21" i="1"/>
  <c r="E24" i="1"/>
  <c r="C26" i="1"/>
  <c r="D377" i="3"/>
  <c r="B377" i="3"/>
  <c r="D376" i="3"/>
  <c r="B376" i="3"/>
  <c r="D375" i="3"/>
  <c r="B375" i="3"/>
  <c r="D374" i="3"/>
  <c r="B374" i="3"/>
  <c r="D373" i="3"/>
  <c r="B373" i="3"/>
  <c r="D372" i="3"/>
  <c r="B372" i="3"/>
  <c r="D371" i="3"/>
  <c r="B371" i="3"/>
  <c r="D370" i="3"/>
  <c r="B370" i="3"/>
  <c r="D369" i="3"/>
  <c r="B369" i="3"/>
  <c r="D368" i="3"/>
  <c r="B368" i="3"/>
  <c r="D367" i="3"/>
  <c r="B367" i="3"/>
  <c r="D366" i="3"/>
  <c r="B366" i="3"/>
  <c r="D365" i="3"/>
  <c r="B365" i="3"/>
  <c r="D364" i="3"/>
  <c r="B364" i="3"/>
  <c r="D363" i="3"/>
  <c r="B363" i="3"/>
  <c r="D362" i="3"/>
  <c r="B362" i="3"/>
  <c r="D361" i="3"/>
  <c r="B361" i="3"/>
  <c r="D360" i="3"/>
  <c r="B360" i="3"/>
  <c r="D359" i="3"/>
  <c r="B359" i="3"/>
  <c r="D358" i="3"/>
  <c r="B358" i="3"/>
  <c r="D357" i="3"/>
  <c r="B357" i="3"/>
  <c r="D356" i="3"/>
  <c r="B356" i="3"/>
  <c r="D355" i="3"/>
  <c r="B355" i="3"/>
  <c r="D354" i="3"/>
  <c r="B354" i="3"/>
  <c r="D353" i="3"/>
  <c r="B353" i="3"/>
  <c r="D352" i="3"/>
  <c r="B352" i="3"/>
  <c r="D351" i="3"/>
  <c r="B351" i="3"/>
  <c r="D350" i="3"/>
  <c r="B350" i="3"/>
  <c r="D349" i="3"/>
  <c r="B349" i="3"/>
  <c r="D348" i="3"/>
  <c r="B348" i="3"/>
  <c r="D347" i="3"/>
  <c r="B347" i="3"/>
  <c r="D346" i="3"/>
  <c r="B346" i="3"/>
  <c r="D345" i="3"/>
  <c r="B345" i="3"/>
  <c r="D344" i="3"/>
  <c r="B344" i="3"/>
  <c r="D343" i="3"/>
  <c r="B343" i="3"/>
  <c r="D342" i="3"/>
  <c r="B342" i="3"/>
  <c r="D341" i="3"/>
  <c r="B341" i="3"/>
  <c r="D340" i="3"/>
  <c r="B340" i="3"/>
  <c r="D339" i="3"/>
  <c r="B339" i="3"/>
  <c r="D338" i="3"/>
  <c r="B338" i="3"/>
  <c r="D337" i="3"/>
  <c r="B337" i="3"/>
  <c r="D336" i="3"/>
  <c r="B336" i="3"/>
  <c r="D335" i="3"/>
  <c r="B335" i="3"/>
  <c r="D334" i="3"/>
  <c r="B334" i="3"/>
  <c r="D333" i="3"/>
  <c r="B333" i="3"/>
  <c r="D332" i="3"/>
  <c r="B332" i="3"/>
  <c r="D331" i="3"/>
  <c r="B331" i="3"/>
  <c r="D330" i="3"/>
  <c r="B330" i="3"/>
  <c r="D329" i="3"/>
  <c r="B329" i="3"/>
  <c r="D328" i="3"/>
  <c r="B328" i="3"/>
  <c r="D327" i="3"/>
  <c r="B327" i="3"/>
  <c r="D326" i="3"/>
  <c r="B326" i="3"/>
  <c r="D325" i="3"/>
  <c r="B325" i="3"/>
  <c r="D324" i="3"/>
  <c r="B324" i="3"/>
  <c r="D323" i="3"/>
  <c r="B323" i="3"/>
  <c r="D322" i="3"/>
  <c r="B322" i="3"/>
  <c r="D321" i="3"/>
  <c r="B321" i="3"/>
  <c r="D320" i="3"/>
  <c r="B320" i="3"/>
  <c r="D319" i="3"/>
  <c r="B319" i="3"/>
  <c r="D318" i="3"/>
  <c r="B318" i="3"/>
  <c r="D317" i="3"/>
  <c r="B317" i="3"/>
  <c r="D316" i="3"/>
  <c r="B316" i="3"/>
  <c r="D315" i="3"/>
  <c r="B315" i="3"/>
  <c r="D314" i="3"/>
  <c r="B314" i="3"/>
  <c r="D313" i="3"/>
  <c r="B313" i="3"/>
  <c r="D312" i="3"/>
  <c r="B312" i="3"/>
  <c r="D311" i="3"/>
  <c r="B311" i="3"/>
  <c r="D310" i="3"/>
  <c r="B310" i="3"/>
  <c r="D309" i="3"/>
  <c r="B309" i="3"/>
  <c r="D308" i="3"/>
  <c r="B308" i="3"/>
  <c r="D307" i="3"/>
  <c r="B307" i="3"/>
  <c r="D306" i="3"/>
  <c r="B306" i="3"/>
  <c r="D305" i="3"/>
  <c r="B305" i="3"/>
  <c r="D304" i="3"/>
  <c r="B304" i="3"/>
  <c r="D303" i="3"/>
  <c r="B303" i="3"/>
  <c r="D302" i="3"/>
  <c r="B302" i="3"/>
  <c r="D301" i="3"/>
  <c r="B301" i="3"/>
  <c r="D300" i="3"/>
  <c r="B300" i="3"/>
  <c r="D299" i="3"/>
  <c r="B299" i="3"/>
  <c r="D298" i="3"/>
  <c r="B298" i="3"/>
  <c r="D297" i="3"/>
  <c r="B297" i="3"/>
  <c r="D296" i="3"/>
  <c r="B296" i="3"/>
  <c r="D295" i="3"/>
  <c r="B295" i="3"/>
  <c r="D294" i="3"/>
  <c r="B294" i="3"/>
  <c r="D293" i="3"/>
  <c r="B293" i="3"/>
  <c r="D292" i="3"/>
  <c r="B292" i="3"/>
  <c r="D291" i="3"/>
  <c r="B291" i="3"/>
  <c r="D290" i="3"/>
  <c r="B290" i="3"/>
  <c r="D289" i="3"/>
  <c r="B289" i="3"/>
  <c r="D288" i="3"/>
  <c r="B288" i="3"/>
  <c r="D287" i="3"/>
  <c r="B287" i="3"/>
  <c r="D286" i="3"/>
  <c r="B286" i="3"/>
  <c r="D285" i="3"/>
  <c r="B285" i="3"/>
  <c r="D284" i="3"/>
  <c r="B284" i="3"/>
  <c r="D283" i="3"/>
  <c r="B283" i="3"/>
  <c r="D282" i="3"/>
  <c r="B282" i="3"/>
  <c r="D281" i="3"/>
  <c r="B281" i="3"/>
  <c r="D280" i="3"/>
  <c r="B280" i="3"/>
  <c r="D279" i="3"/>
  <c r="B279" i="3"/>
  <c r="D278" i="3"/>
  <c r="B278" i="3"/>
  <c r="D277" i="3"/>
  <c r="B277" i="3"/>
  <c r="D276" i="3"/>
  <c r="B276" i="3"/>
  <c r="D275" i="3"/>
  <c r="B275" i="3"/>
  <c r="D274" i="3"/>
  <c r="B274" i="3"/>
  <c r="D273" i="3"/>
  <c r="B273" i="3"/>
  <c r="D272" i="3"/>
  <c r="B272" i="3"/>
  <c r="D271" i="3"/>
  <c r="B271" i="3"/>
  <c r="D270" i="3"/>
  <c r="B270" i="3"/>
  <c r="D269" i="3"/>
  <c r="B269" i="3"/>
  <c r="D268" i="3"/>
  <c r="B268" i="3"/>
  <c r="D267" i="3"/>
  <c r="B267" i="3"/>
  <c r="D266" i="3"/>
  <c r="B266" i="3"/>
  <c r="D265" i="3"/>
  <c r="B265" i="3"/>
  <c r="D264" i="3"/>
  <c r="B264" i="3"/>
  <c r="D263" i="3"/>
  <c r="B263" i="3"/>
  <c r="D262" i="3"/>
  <c r="B262" i="3"/>
  <c r="D261" i="3"/>
  <c r="B261" i="3"/>
  <c r="D260" i="3"/>
  <c r="B260" i="3"/>
  <c r="D259" i="3"/>
  <c r="B259" i="3"/>
  <c r="D258" i="3"/>
  <c r="B258" i="3"/>
  <c r="D257" i="3"/>
  <c r="B257" i="3"/>
  <c r="D256" i="3"/>
  <c r="B256" i="3"/>
  <c r="D255" i="3"/>
  <c r="B255" i="3"/>
  <c r="D254" i="3"/>
  <c r="B254" i="3"/>
  <c r="D253" i="3"/>
  <c r="B253" i="3"/>
  <c r="D252" i="3"/>
  <c r="B252" i="3"/>
  <c r="D251" i="3"/>
  <c r="B251" i="3"/>
  <c r="D250" i="3"/>
  <c r="B250" i="3"/>
  <c r="D249" i="3"/>
  <c r="B249" i="3"/>
  <c r="D248" i="3"/>
  <c r="B248" i="3"/>
  <c r="D247" i="3"/>
  <c r="B247" i="3"/>
  <c r="D246" i="3"/>
  <c r="B246" i="3"/>
  <c r="D245" i="3"/>
  <c r="B245" i="3"/>
  <c r="D244" i="3"/>
  <c r="B244" i="3"/>
  <c r="D243" i="3"/>
  <c r="B243" i="3"/>
  <c r="D242" i="3"/>
  <c r="B242" i="3"/>
  <c r="D241" i="3"/>
  <c r="B241" i="3"/>
  <c r="D240" i="3"/>
  <c r="B240" i="3"/>
  <c r="D239" i="3"/>
  <c r="B239" i="3"/>
  <c r="D238" i="3"/>
  <c r="B238" i="3"/>
  <c r="D237" i="3"/>
  <c r="B237" i="3"/>
  <c r="D236" i="3"/>
  <c r="B236" i="3"/>
  <c r="D235" i="3"/>
  <c r="B235" i="3"/>
  <c r="D234" i="3"/>
  <c r="B234" i="3"/>
  <c r="D233" i="3"/>
  <c r="B233" i="3"/>
  <c r="D232" i="3"/>
  <c r="B232" i="3"/>
  <c r="D231" i="3"/>
  <c r="B231" i="3"/>
  <c r="D230" i="3"/>
  <c r="B230" i="3"/>
  <c r="D229" i="3"/>
  <c r="B229" i="3"/>
  <c r="D228" i="3"/>
  <c r="B228" i="3"/>
  <c r="D227" i="3"/>
  <c r="B227" i="3"/>
  <c r="D226" i="3"/>
  <c r="B226" i="3"/>
  <c r="D225" i="3"/>
  <c r="B225" i="3"/>
  <c r="D224" i="3"/>
  <c r="B224" i="3"/>
  <c r="D223" i="3"/>
  <c r="B223" i="3"/>
  <c r="D222" i="3"/>
  <c r="B222" i="3"/>
  <c r="D221" i="3"/>
  <c r="B221" i="3"/>
  <c r="D220" i="3"/>
  <c r="B220" i="3"/>
  <c r="D219" i="3"/>
  <c r="B219" i="3"/>
  <c r="D218" i="3"/>
  <c r="B218" i="3"/>
  <c r="D217" i="3"/>
  <c r="B217" i="3"/>
  <c r="D216" i="3"/>
  <c r="B216" i="3"/>
  <c r="D215" i="3"/>
  <c r="B215" i="3"/>
  <c r="D214" i="3"/>
  <c r="B214" i="3"/>
  <c r="D213" i="3"/>
  <c r="B213" i="3"/>
  <c r="D212" i="3"/>
  <c r="B212" i="3"/>
  <c r="D211" i="3"/>
  <c r="B211" i="3"/>
  <c r="D210" i="3"/>
  <c r="B210" i="3"/>
  <c r="D209" i="3"/>
  <c r="B209" i="3"/>
  <c r="D208" i="3"/>
  <c r="B208" i="3"/>
  <c r="D207" i="3"/>
  <c r="B207" i="3"/>
  <c r="D206" i="3"/>
  <c r="B206" i="3"/>
  <c r="D205" i="3"/>
  <c r="B205" i="3"/>
  <c r="D204" i="3"/>
  <c r="B204" i="3"/>
  <c r="D203" i="3"/>
  <c r="B203" i="3"/>
  <c r="D202" i="3"/>
  <c r="B202" i="3"/>
  <c r="D201" i="3"/>
  <c r="B201" i="3"/>
  <c r="D200" i="3"/>
  <c r="B200" i="3"/>
  <c r="D199" i="3"/>
  <c r="B199" i="3"/>
  <c r="D198" i="3"/>
  <c r="B198" i="3"/>
  <c r="D197" i="3"/>
  <c r="B197" i="3"/>
  <c r="D196" i="3"/>
  <c r="B196" i="3"/>
  <c r="D195" i="3"/>
  <c r="B195" i="3"/>
  <c r="D194" i="3"/>
  <c r="B194" i="3"/>
  <c r="D193" i="3"/>
  <c r="B193" i="3"/>
  <c r="D192" i="3"/>
  <c r="B192" i="3"/>
  <c r="D191" i="3"/>
  <c r="B191" i="3"/>
  <c r="D190" i="3"/>
  <c r="B190" i="3"/>
  <c r="D189" i="3"/>
  <c r="B189" i="3"/>
  <c r="D188" i="3"/>
  <c r="B188" i="3"/>
  <c r="D187" i="3"/>
  <c r="B187" i="3"/>
  <c r="D186" i="3"/>
  <c r="B186" i="3"/>
  <c r="D185" i="3"/>
  <c r="B185" i="3"/>
  <c r="D184" i="3"/>
  <c r="B184" i="3"/>
  <c r="D183" i="3"/>
  <c r="B183" i="3"/>
  <c r="D182" i="3"/>
  <c r="B182" i="3"/>
  <c r="D181" i="3"/>
  <c r="B181" i="3"/>
  <c r="D180" i="3"/>
  <c r="B180" i="3"/>
  <c r="D179" i="3"/>
  <c r="B179" i="3"/>
  <c r="D178" i="3"/>
  <c r="B178" i="3"/>
  <c r="D177" i="3"/>
  <c r="B177" i="3"/>
  <c r="D176" i="3"/>
  <c r="B176" i="3"/>
  <c r="D175" i="3"/>
  <c r="B175" i="3"/>
  <c r="D174" i="3"/>
  <c r="B174" i="3"/>
  <c r="D173" i="3"/>
  <c r="B173" i="3"/>
  <c r="D172" i="3"/>
  <c r="B172" i="3"/>
  <c r="D171" i="3"/>
  <c r="B171" i="3"/>
  <c r="D170" i="3"/>
  <c r="B170" i="3"/>
  <c r="D169" i="3"/>
  <c r="B169" i="3"/>
  <c r="D168" i="3"/>
  <c r="B168" i="3"/>
  <c r="D167" i="3"/>
  <c r="B167" i="3"/>
  <c r="D166" i="3"/>
  <c r="B166" i="3"/>
  <c r="D165" i="3"/>
  <c r="B165" i="3"/>
  <c r="D164" i="3"/>
  <c r="B164" i="3"/>
  <c r="D163" i="3"/>
  <c r="B163" i="3"/>
  <c r="D162" i="3"/>
  <c r="B162" i="3"/>
  <c r="D161" i="3"/>
  <c r="B161" i="3"/>
  <c r="D160" i="3"/>
  <c r="B160" i="3"/>
  <c r="D159" i="3"/>
  <c r="B159" i="3"/>
  <c r="D158" i="3"/>
  <c r="B158" i="3"/>
  <c r="D157" i="3"/>
  <c r="B157" i="3"/>
  <c r="D156" i="3"/>
  <c r="B156" i="3"/>
  <c r="D155" i="3"/>
  <c r="B155" i="3"/>
  <c r="D154" i="3"/>
  <c r="B154" i="3"/>
  <c r="D153" i="3"/>
  <c r="B153" i="3"/>
  <c r="D152" i="3"/>
  <c r="B152" i="3"/>
  <c r="D151" i="3"/>
  <c r="B151" i="3"/>
  <c r="D150" i="3"/>
  <c r="B150" i="3"/>
  <c r="D149" i="3"/>
  <c r="B149" i="3"/>
  <c r="D148" i="3"/>
  <c r="B148" i="3"/>
  <c r="D147" i="3"/>
  <c r="B147" i="3"/>
  <c r="D146" i="3"/>
  <c r="B146" i="3"/>
  <c r="D145" i="3"/>
  <c r="B145" i="3"/>
  <c r="D144" i="3"/>
  <c r="B144" i="3"/>
  <c r="D143" i="3"/>
  <c r="B143" i="3"/>
  <c r="D142" i="3"/>
  <c r="B142" i="3"/>
  <c r="D141" i="3"/>
  <c r="B141" i="3"/>
  <c r="D140" i="3"/>
  <c r="B140" i="3"/>
  <c r="D139" i="3"/>
  <c r="B139" i="3"/>
  <c r="D138" i="3"/>
  <c r="B138" i="3"/>
  <c r="D137" i="3"/>
  <c r="B137" i="3"/>
  <c r="D136" i="3"/>
  <c r="B136" i="3"/>
  <c r="D135" i="3"/>
  <c r="B135" i="3"/>
  <c r="D134" i="3"/>
  <c r="B134" i="3"/>
  <c r="D133" i="3"/>
  <c r="B133" i="3"/>
  <c r="D132" i="3"/>
  <c r="B132" i="3"/>
  <c r="D131" i="3"/>
  <c r="B131" i="3"/>
  <c r="D130" i="3"/>
  <c r="B130" i="3"/>
  <c r="D129" i="3"/>
  <c r="B129" i="3"/>
  <c r="D128" i="3"/>
  <c r="B128" i="3"/>
  <c r="D127" i="3"/>
  <c r="B127" i="3"/>
  <c r="D126" i="3"/>
  <c r="B126" i="3"/>
  <c r="D125" i="3"/>
  <c r="B125" i="3"/>
  <c r="D124" i="3"/>
  <c r="B124" i="3"/>
  <c r="D123" i="3"/>
  <c r="B123" i="3"/>
  <c r="D122" i="3"/>
  <c r="B122" i="3"/>
  <c r="D121" i="3"/>
  <c r="B121" i="3"/>
  <c r="D120" i="3"/>
  <c r="B120" i="3"/>
  <c r="D119" i="3"/>
  <c r="B119" i="3"/>
  <c r="D118" i="3"/>
  <c r="B118" i="3"/>
  <c r="D117" i="3"/>
  <c r="B117" i="3"/>
  <c r="D116" i="3"/>
  <c r="B116" i="3"/>
  <c r="D115" i="3"/>
  <c r="B115" i="3"/>
  <c r="D114" i="3"/>
  <c r="B114" i="3"/>
  <c r="D113" i="3"/>
  <c r="B113" i="3"/>
  <c r="D112" i="3"/>
  <c r="B112" i="3"/>
  <c r="D111" i="3"/>
  <c r="B111" i="3"/>
  <c r="D110" i="3"/>
  <c r="B110" i="3"/>
  <c r="D109" i="3"/>
  <c r="B109" i="3"/>
  <c r="D108" i="3"/>
  <c r="B108" i="3"/>
  <c r="D107" i="3"/>
  <c r="B107" i="3"/>
  <c r="D106" i="3"/>
  <c r="B106" i="3"/>
  <c r="D105" i="3"/>
  <c r="B105" i="3"/>
  <c r="D104" i="3"/>
  <c r="B104" i="3"/>
  <c r="D103" i="3"/>
  <c r="B103" i="3"/>
  <c r="D102" i="3"/>
  <c r="B102" i="3"/>
  <c r="D101" i="3"/>
  <c r="B101" i="3"/>
  <c r="D100" i="3"/>
  <c r="B100" i="3"/>
  <c r="D99" i="3"/>
  <c r="B99" i="3"/>
  <c r="D98" i="3"/>
  <c r="B98" i="3"/>
  <c r="D97" i="3"/>
  <c r="B97" i="3"/>
  <c r="D96" i="3"/>
  <c r="B96" i="3"/>
  <c r="D95" i="3"/>
  <c r="B95" i="3"/>
  <c r="D94" i="3"/>
  <c r="B94" i="3"/>
  <c r="D93" i="3"/>
  <c r="B93" i="3"/>
  <c r="D92" i="3"/>
  <c r="B92" i="3"/>
  <c r="D91" i="3"/>
  <c r="B91" i="3"/>
  <c r="D90" i="3"/>
  <c r="B90" i="3"/>
  <c r="D89" i="3"/>
  <c r="B89" i="3"/>
  <c r="D88" i="3"/>
  <c r="B88" i="3"/>
  <c r="D87" i="3"/>
  <c r="B87" i="3"/>
  <c r="D86" i="3"/>
  <c r="B86" i="3"/>
  <c r="D85" i="3"/>
  <c r="B85" i="3"/>
  <c r="D84" i="3"/>
  <c r="B84" i="3"/>
  <c r="D83" i="3"/>
  <c r="B83" i="3"/>
  <c r="D82" i="3"/>
  <c r="B82" i="3"/>
  <c r="D81" i="3"/>
  <c r="B81" i="3"/>
  <c r="D80" i="3"/>
  <c r="B80" i="3"/>
  <c r="D79" i="3"/>
  <c r="B79" i="3"/>
  <c r="D78" i="3"/>
  <c r="B78" i="3"/>
  <c r="D77" i="3"/>
  <c r="B77" i="3"/>
  <c r="D76" i="3"/>
  <c r="B76" i="3"/>
  <c r="D75" i="3"/>
  <c r="B75" i="3"/>
  <c r="D74" i="3"/>
  <c r="B74" i="3"/>
  <c r="D73" i="3"/>
  <c r="B73" i="3"/>
  <c r="D72" i="3"/>
  <c r="B72" i="3"/>
  <c r="D71" i="3"/>
  <c r="B71" i="3"/>
  <c r="D70" i="3"/>
  <c r="B70" i="3"/>
  <c r="D69" i="3"/>
  <c r="B69" i="3"/>
  <c r="D68" i="3"/>
  <c r="B68" i="3"/>
  <c r="D67" i="3"/>
  <c r="B67" i="3"/>
  <c r="D66" i="3"/>
  <c r="B66" i="3"/>
  <c r="D65" i="3"/>
  <c r="B65" i="3"/>
  <c r="D64" i="3"/>
  <c r="B64" i="3"/>
  <c r="D63" i="3"/>
  <c r="B63" i="3"/>
  <c r="D62" i="3"/>
  <c r="B62" i="3"/>
  <c r="D61" i="3"/>
  <c r="B61" i="3"/>
  <c r="D60" i="3"/>
  <c r="B60" i="3"/>
  <c r="D59" i="3"/>
  <c r="B59" i="3"/>
  <c r="D58" i="3"/>
  <c r="B58" i="3"/>
  <c r="D57" i="3"/>
  <c r="B57" i="3"/>
  <c r="D56" i="3"/>
  <c r="B56" i="3"/>
  <c r="D55" i="3"/>
  <c r="B55" i="3"/>
  <c r="D54" i="3"/>
  <c r="B54" i="3"/>
  <c r="D53" i="3"/>
  <c r="B53" i="3"/>
  <c r="D52" i="3"/>
  <c r="B52" i="3"/>
  <c r="D51" i="3"/>
  <c r="B51" i="3"/>
  <c r="D50" i="3"/>
  <c r="B50" i="3"/>
  <c r="D49" i="3"/>
  <c r="B49" i="3"/>
  <c r="D48" i="3"/>
  <c r="B48" i="3"/>
  <c r="D47" i="3"/>
  <c r="B47" i="3"/>
  <c r="D46" i="3"/>
  <c r="B46" i="3"/>
  <c r="D45" i="3"/>
  <c r="B45" i="3"/>
  <c r="D44" i="3"/>
  <c r="B44" i="3"/>
  <c r="D43" i="3"/>
  <c r="B43" i="3"/>
  <c r="D42" i="3"/>
  <c r="B42" i="3"/>
  <c r="D41" i="3"/>
  <c r="B41" i="3"/>
  <c r="D40" i="3"/>
  <c r="B40" i="3"/>
  <c r="D39" i="3"/>
  <c r="B39" i="3"/>
  <c r="D38" i="3"/>
  <c r="B38" i="3"/>
  <c r="D37" i="3"/>
  <c r="B37" i="3"/>
  <c r="D36" i="3"/>
  <c r="B36" i="3"/>
  <c r="D35" i="3"/>
  <c r="B35" i="3"/>
  <c r="D34" i="3"/>
  <c r="B34" i="3"/>
  <c r="D33" i="3"/>
  <c r="B33" i="3"/>
  <c r="D32" i="3"/>
  <c r="B32" i="3"/>
  <c r="D31" i="3"/>
  <c r="B31" i="3"/>
  <c r="D30" i="3"/>
  <c r="B30" i="3"/>
  <c r="D29" i="3"/>
  <c r="B29" i="3"/>
  <c r="D28" i="3"/>
  <c r="B28" i="3"/>
  <c r="D27" i="3"/>
  <c r="B27" i="3"/>
  <c r="D26" i="3"/>
  <c r="B26" i="3"/>
  <c r="D25" i="3"/>
  <c r="B25" i="3"/>
  <c r="D24" i="3"/>
  <c r="B24" i="3"/>
  <c r="D23" i="3"/>
  <c r="B23" i="3"/>
  <c r="D22" i="3"/>
  <c r="B22" i="3"/>
  <c r="D21" i="3"/>
  <c r="B21" i="3"/>
  <c r="D20" i="3"/>
  <c r="B20" i="3"/>
  <c r="D19" i="3"/>
  <c r="B19" i="3"/>
  <c r="D18" i="3"/>
  <c r="E18" i="3"/>
  <c r="F18" i="3"/>
  <c r="B18" i="3"/>
  <c r="D7" i="3"/>
  <c r="D6" i="3"/>
  <c r="H18" i="3"/>
  <c r="I84" i="2"/>
  <c r="I83" i="2"/>
  <c r="K77" i="2"/>
  <c r="F68" i="2"/>
  <c r="I66" i="2"/>
  <c r="F66" i="2"/>
  <c r="C64" i="2"/>
  <c r="I62" i="2"/>
  <c r="F61" i="2"/>
  <c r="F63" i="2"/>
  <c r="I63" i="2"/>
  <c r="I60" i="2"/>
  <c r="I59" i="2"/>
  <c r="I58" i="2"/>
  <c r="I57" i="2"/>
  <c r="I56" i="2"/>
  <c r="K31" i="2"/>
  <c r="G14" i="2"/>
  <c r="I12" i="2"/>
  <c r="E34" i="1"/>
  <c r="I7" i="2"/>
  <c r="G7" i="2"/>
  <c r="G6" i="2"/>
  <c r="E32" i="1"/>
  <c r="K4" i="2"/>
  <c r="A1" i="2"/>
  <c r="E63" i="1"/>
  <c r="D60" i="1"/>
  <c r="E55" i="1"/>
  <c r="C53" i="1"/>
  <c r="E53" i="1"/>
  <c r="C51" i="1"/>
  <c r="E42" i="1"/>
  <c r="E38" i="1"/>
  <c r="C37" i="1"/>
  <c r="E36" i="1"/>
  <c r="C32" i="1"/>
  <c r="I4" i="2"/>
  <c r="E25" i="1"/>
  <c r="I23" i="1"/>
  <c r="C54" i="1"/>
  <c r="E54" i="1"/>
  <c r="B16" i="1"/>
  <c r="E21" i="1"/>
  <c r="J37" i="1"/>
  <c r="N38" i="1"/>
  <c r="H53" i="1"/>
  <c r="L52" i="1"/>
  <c r="I36" i="1"/>
  <c r="H55" i="1"/>
  <c r="M57" i="1"/>
  <c r="I14" i="2"/>
  <c r="E35" i="1"/>
  <c r="E51" i="1"/>
  <c r="I99" i="2"/>
  <c r="H41" i="1"/>
  <c r="I61" i="2"/>
  <c r="G18" i="3"/>
  <c r="I18" i="3"/>
  <c r="C19" i="3"/>
  <c r="J18" i="3"/>
  <c r="D22" i="1"/>
  <c r="E22" i="1"/>
  <c r="E20" i="1"/>
  <c r="I9" i="2"/>
  <c r="I38" i="1"/>
  <c r="J36" i="1"/>
  <c r="J38" i="1"/>
  <c r="L38" i="1"/>
  <c r="G54" i="1"/>
  <c r="I64" i="1"/>
  <c r="J64" i="1"/>
  <c r="D56" i="1"/>
  <c r="E64" i="1"/>
  <c r="K102" i="2"/>
  <c r="E45" i="1"/>
  <c r="C45" i="1"/>
  <c r="G79" i="1"/>
  <c r="H19" i="3"/>
  <c r="E19" i="3"/>
  <c r="D58" i="1"/>
  <c r="G56" i="1"/>
  <c r="E67" i="1"/>
  <c r="E65" i="1"/>
  <c r="E57" i="1"/>
  <c r="H52" i="1"/>
  <c r="H54" i="1"/>
  <c r="H56" i="1"/>
  <c r="F19" i="3"/>
  <c r="G19" i="3"/>
  <c r="I19" i="3"/>
  <c r="C20" i="3"/>
  <c r="I17" i="2"/>
  <c r="E37" i="1"/>
  <c r="I6" i="2"/>
  <c r="C42" i="1"/>
  <c r="C38" i="1"/>
  <c r="J19" i="3"/>
  <c r="K64" i="1"/>
  <c r="E68" i="1"/>
  <c r="C68" i="1"/>
  <c r="E72" i="1"/>
  <c r="I44" i="1"/>
  <c r="K52" i="1"/>
  <c r="I16" i="2"/>
  <c r="G26" i="2"/>
  <c r="I42" i="2"/>
  <c r="I33" i="2"/>
  <c r="H40" i="1"/>
  <c r="E20" i="3"/>
  <c r="H20" i="3"/>
  <c r="L64" i="1"/>
  <c r="E70" i="1"/>
  <c r="I65" i="1"/>
  <c r="I67" i="1"/>
  <c r="J52" i="1"/>
  <c r="G21" i="2"/>
  <c r="G24" i="2"/>
  <c r="K19" i="2"/>
  <c r="I53" i="2"/>
  <c r="G27" i="2"/>
  <c r="G22" i="2"/>
  <c r="G25" i="2"/>
  <c r="I54" i="2"/>
  <c r="G29" i="2"/>
  <c r="G23" i="2"/>
  <c r="G28" i="2"/>
  <c r="K40" i="2"/>
  <c r="E39" i="1"/>
  <c r="C39" i="1"/>
  <c r="J20" i="3"/>
  <c r="M64" i="1"/>
  <c r="F20" i="3"/>
  <c r="G20" i="3"/>
  <c r="I20" i="3"/>
  <c r="C21" i="3"/>
  <c r="J65" i="1"/>
  <c r="J67" i="1"/>
  <c r="K70" i="2"/>
  <c r="E41" i="1"/>
  <c r="C41" i="1"/>
  <c r="G30" i="2"/>
  <c r="H21" i="3"/>
  <c r="E21" i="3"/>
  <c r="N64" i="1"/>
  <c r="K65" i="1"/>
  <c r="K67" i="1"/>
  <c r="H58" i="1"/>
  <c r="J21" i="3"/>
  <c r="H28" i="1"/>
  <c r="F21" i="3"/>
  <c r="G21" i="3"/>
  <c r="I21" i="3"/>
  <c r="C22" i="3"/>
  <c r="O64" i="1"/>
  <c r="L65" i="1"/>
  <c r="M65" i="1"/>
  <c r="I28" i="1"/>
  <c r="I25" i="1"/>
  <c r="H21" i="1"/>
  <c r="P64" i="1"/>
  <c r="E22" i="3"/>
  <c r="H22" i="3"/>
  <c r="L67" i="1"/>
  <c r="N65" i="1"/>
  <c r="M67" i="1"/>
  <c r="Q64" i="1"/>
  <c r="F22" i="3"/>
  <c r="G22" i="3"/>
  <c r="I22" i="3"/>
  <c r="C23" i="3"/>
  <c r="I9" i="1"/>
  <c r="I73" i="1"/>
  <c r="J73" i="1"/>
  <c r="K73" i="1"/>
  <c r="L73" i="1"/>
  <c r="M73" i="1"/>
  <c r="N73" i="1"/>
  <c r="O73" i="1"/>
  <c r="P73" i="1"/>
  <c r="Q73" i="1"/>
  <c r="Q74" i="1"/>
  <c r="I21" i="1"/>
  <c r="H30" i="1"/>
  <c r="I27" i="1"/>
  <c r="J22" i="3"/>
  <c r="H23" i="3"/>
  <c r="J23" i="3"/>
  <c r="E23" i="3"/>
  <c r="I88" i="2"/>
  <c r="K92" i="2"/>
  <c r="E44" i="1"/>
  <c r="C44" i="1"/>
  <c r="H31" i="1"/>
  <c r="I79" i="2"/>
  <c r="D5" i="3"/>
  <c r="I45" i="1"/>
  <c r="I39" i="1"/>
  <c r="I8" i="1"/>
  <c r="I17" i="1"/>
  <c r="O65" i="1"/>
  <c r="N67" i="1"/>
  <c r="F23" i="3"/>
  <c r="G23" i="3"/>
  <c r="I23" i="3"/>
  <c r="C24" i="3"/>
  <c r="I68" i="1"/>
  <c r="I47" i="1"/>
  <c r="I12" i="1"/>
  <c r="I81" i="2"/>
  <c r="K86" i="2"/>
  <c r="I10" i="1"/>
  <c r="P65" i="1"/>
  <c r="O67" i="1"/>
  <c r="E24" i="3"/>
  <c r="H24" i="3"/>
  <c r="J24" i="3"/>
  <c r="I72" i="1"/>
  <c r="J72" i="1"/>
  <c r="K72" i="1"/>
  <c r="L72" i="1"/>
  <c r="J68" i="1"/>
  <c r="I69" i="1"/>
  <c r="I53" i="1"/>
  <c r="I71" i="1"/>
  <c r="E43" i="1"/>
  <c r="Q65" i="1"/>
  <c r="Q67" i="1"/>
  <c r="P67" i="1"/>
  <c r="I55" i="1"/>
  <c r="I56" i="1"/>
  <c r="I54" i="1"/>
  <c r="C43" i="1"/>
  <c r="K68" i="1"/>
  <c r="J69" i="1"/>
  <c r="J53" i="1"/>
  <c r="J71" i="1"/>
  <c r="I79" i="1"/>
  <c r="F24" i="3"/>
  <c r="G24" i="3"/>
  <c r="I24" i="3"/>
  <c r="C25" i="3"/>
  <c r="J54" i="1"/>
  <c r="H25" i="3"/>
  <c r="J25" i="3"/>
  <c r="E25" i="3"/>
  <c r="L68" i="1"/>
  <c r="K71" i="1"/>
  <c r="K69" i="1"/>
  <c r="K53" i="1"/>
  <c r="K54" i="1"/>
  <c r="J79" i="1"/>
  <c r="J55" i="1"/>
  <c r="J56" i="1"/>
  <c r="K79" i="1"/>
  <c r="F25" i="3"/>
  <c r="G25" i="3"/>
  <c r="I25" i="3"/>
  <c r="C26" i="3"/>
  <c r="M68" i="1"/>
  <c r="L71" i="1"/>
  <c r="L69" i="1"/>
  <c r="L53" i="1"/>
  <c r="L55" i="1"/>
  <c r="L54" i="1"/>
  <c r="K55" i="1"/>
  <c r="K56" i="1"/>
  <c r="N68" i="1"/>
  <c r="M69" i="1"/>
  <c r="M51" i="1"/>
  <c r="M71" i="1"/>
  <c r="L79" i="1"/>
  <c r="H26" i="3"/>
  <c r="J26" i="3"/>
  <c r="E26" i="3"/>
  <c r="M52" i="1"/>
  <c r="M61" i="1"/>
  <c r="M53" i="1"/>
  <c r="M54" i="1"/>
  <c r="L56" i="1"/>
  <c r="F26" i="3"/>
  <c r="G26" i="3"/>
  <c r="I26" i="3"/>
  <c r="C27" i="3"/>
  <c r="O68" i="1"/>
  <c r="N69" i="1"/>
  <c r="N71" i="1"/>
  <c r="M79" i="1"/>
  <c r="N53" i="1"/>
  <c r="N54" i="1"/>
  <c r="N51" i="1"/>
  <c r="M55" i="1"/>
  <c r="M56" i="1"/>
  <c r="H27" i="3"/>
  <c r="J27" i="3"/>
  <c r="E27" i="3"/>
  <c r="P68" i="1"/>
  <c r="O71" i="1"/>
  <c r="O69" i="1"/>
  <c r="N79" i="1"/>
  <c r="N52" i="1"/>
  <c r="N61" i="1"/>
  <c r="O51" i="1"/>
  <c r="O53" i="1"/>
  <c r="O54" i="1"/>
  <c r="N55" i="1"/>
  <c r="N56" i="1"/>
  <c r="N57" i="1"/>
  <c r="O79" i="1"/>
  <c r="F27" i="3"/>
  <c r="G27" i="3"/>
  <c r="I27" i="3"/>
  <c r="C28" i="3"/>
  <c r="Q68" i="1"/>
  <c r="P71" i="1"/>
  <c r="P69" i="1"/>
  <c r="O52" i="1"/>
  <c r="O61" i="1"/>
  <c r="P51" i="1"/>
  <c r="P53" i="1"/>
  <c r="P54" i="1"/>
  <c r="O55" i="1"/>
  <c r="O56" i="1"/>
  <c r="O57" i="1"/>
  <c r="P79" i="1"/>
  <c r="E28" i="3"/>
  <c r="H28" i="3"/>
  <c r="J28" i="3"/>
  <c r="Q69" i="1"/>
  <c r="Q71" i="1"/>
  <c r="P52" i="1"/>
  <c r="P61" i="1"/>
  <c r="P55" i="1"/>
  <c r="P56" i="1"/>
  <c r="P57" i="1"/>
  <c r="F28" i="3"/>
  <c r="G28" i="3"/>
  <c r="I28" i="3"/>
  <c r="C29" i="3"/>
  <c r="E29" i="3"/>
  <c r="H29" i="3"/>
  <c r="J29" i="3"/>
  <c r="F29" i="3"/>
  <c r="G29" i="3"/>
  <c r="I29" i="3"/>
  <c r="C30" i="3"/>
  <c r="H30" i="3"/>
  <c r="J30" i="3"/>
  <c r="E30" i="3"/>
  <c r="F30" i="3"/>
  <c r="G30" i="3"/>
  <c r="I30" i="3"/>
  <c r="C31" i="3"/>
  <c r="H31" i="3"/>
  <c r="J31" i="3"/>
  <c r="E31" i="3"/>
  <c r="F31" i="3"/>
  <c r="G31" i="3"/>
  <c r="I31" i="3"/>
  <c r="C32" i="3"/>
  <c r="E32" i="3"/>
  <c r="H32" i="3"/>
  <c r="J32" i="3"/>
  <c r="F32" i="3"/>
  <c r="G32" i="3"/>
  <c r="I32" i="3"/>
  <c r="C33" i="3"/>
  <c r="E33" i="3"/>
  <c r="H33" i="3"/>
  <c r="J33" i="3"/>
  <c r="F33" i="3"/>
  <c r="G33" i="3"/>
  <c r="I33" i="3"/>
  <c r="C34" i="3"/>
  <c r="H34" i="3"/>
  <c r="J34" i="3"/>
  <c r="E34" i="3"/>
  <c r="F34" i="3"/>
  <c r="G34" i="3"/>
  <c r="I34" i="3"/>
  <c r="C35" i="3"/>
  <c r="H35" i="3"/>
  <c r="J35" i="3"/>
  <c r="E35" i="3"/>
  <c r="F35" i="3"/>
  <c r="G35" i="3"/>
  <c r="I35" i="3"/>
  <c r="C36" i="3"/>
  <c r="H36" i="3"/>
  <c r="J36" i="3"/>
  <c r="E36" i="3"/>
  <c r="F36" i="3"/>
  <c r="G36" i="3"/>
  <c r="I36" i="3"/>
  <c r="C37" i="3"/>
  <c r="H37" i="3"/>
  <c r="J37" i="3"/>
  <c r="E37" i="3"/>
  <c r="F37" i="3"/>
  <c r="G37" i="3"/>
  <c r="I37" i="3"/>
  <c r="C38" i="3"/>
  <c r="H38" i="3"/>
  <c r="J38" i="3"/>
  <c r="E38" i="3"/>
  <c r="F38" i="3"/>
  <c r="G38" i="3"/>
  <c r="I38" i="3"/>
  <c r="C39" i="3"/>
  <c r="H39" i="3"/>
  <c r="J39" i="3"/>
  <c r="E39" i="3"/>
  <c r="F39" i="3"/>
  <c r="G39" i="3"/>
  <c r="I39" i="3"/>
  <c r="C40" i="3"/>
  <c r="H40" i="3"/>
  <c r="J40" i="3"/>
  <c r="E40" i="3"/>
  <c r="F40" i="3"/>
  <c r="G40" i="3"/>
  <c r="I40" i="3"/>
  <c r="C41" i="3"/>
  <c r="H41" i="3"/>
  <c r="J41" i="3"/>
  <c r="E41" i="3"/>
  <c r="F41" i="3"/>
  <c r="G41" i="3"/>
  <c r="I41" i="3"/>
  <c r="C42" i="3"/>
  <c r="H42" i="3"/>
  <c r="J42" i="3"/>
  <c r="E42" i="3"/>
  <c r="F42" i="3"/>
  <c r="G42" i="3"/>
  <c r="I42" i="3"/>
  <c r="C43" i="3"/>
  <c r="H43" i="3"/>
  <c r="J43" i="3"/>
  <c r="E43" i="3"/>
  <c r="F43" i="3"/>
  <c r="G43" i="3"/>
  <c r="I43" i="3"/>
  <c r="C44" i="3"/>
  <c r="E44" i="3"/>
  <c r="H44" i="3"/>
  <c r="J44" i="3"/>
  <c r="F44" i="3"/>
  <c r="G44" i="3"/>
  <c r="I44" i="3"/>
  <c r="C45" i="3"/>
  <c r="E45" i="3"/>
  <c r="H45" i="3"/>
  <c r="J45" i="3"/>
  <c r="F45" i="3"/>
  <c r="G45" i="3"/>
  <c r="I45" i="3"/>
  <c r="C46" i="3"/>
  <c r="H46" i="3"/>
  <c r="J46" i="3"/>
  <c r="E46" i="3"/>
  <c r="F46" i="3"/>
  <c r="G46" i="3"/>
  <c r="I46" i="3"/>
  <c r="C47" i="3"/>
  <c r="H47" i="3"/>
  <c r="J47" i="3"/>
  <c r="E47" i="3"/>
  <c r="F47" i="3"/>
  <c r="G47" i="3"/>
  <c r="I47" i="3"/>
  <c r="C48" i="3"/>
  <c r="E48" i="3"/>
  <c r="H48" i="3"/>
  <c r="J48" i="3"/>
  <c r="F48" i="3"/>
  <c r="G48" i="3"/>
  <c r="I48" i="3"/>
  <c r="C49" i="3"/>
  <c r="E49" i="3"/>
  <c r="H49" i="3"/>
  <c r="J49" i="3"/>
  <c r="F49" i="3"/>
  <c r="G49" i="3"/>
  <c r="I49" i="3"/>
  <c r="C50" i="3"/>
  <c r="H50" i="3"/>
  <c r="J50" i="3"/>
  <c r="E50" i="3"/>
  <c r="F50" i="3"/>
  <c r="G50" i="3"/>
  <c r="I50" i="3"/>
  <c r="C51" i="3"/>
  <c r="H51" i="3"/>
  <c r="J51" i="3"/>
  <c r="E51" i="3"/>
  <c r="F51" i="3"/>
  <c r="G51" i="3"/>
  <c r="I51" i="3"/>
  <c r="C52" i="3"/>
  <c r="H52" i="3"/>
  <c r="J52" i="3"/>
  <c r="E52" i="3"/>
  <c r="F52" i="3"/>
  <c r="G52" i="3"/>
  <c r="I52" i="3"/>
  <c r="C53" i="3"/>
  <c r="H53" i="3"/>
  <c r="J53" i="3"/>
  <c r="E53" i="3"/>
  <c r="F53" i="3"/>
  <c r="G53" i="3"/>
  <c r="I53" i="3"/>
  <c r="C54" i="3"/>
  <c r="H54" i="3"/>
  <c r="J54" i="3"/>
  <c r="E54" i="3"/>
  <c r="F54" i="3"/>
  <c r="G54" i="3"/>
  <c r="I54" i="3"/>
  <c r="C55" i="3"/>
  <c r="H55" i="3"/>
  <c r="J55" i="3"/>
  <c r="E55" i="3"/>
  <c r="F55" i="3"/>
  <c r="G55" i="3"/>
  <c r="I55" i="3"/>
  <c r="C56" i="3"/>
  <c r="H56" i="3"/>
  <c r="J56" i="3"/>
  <c r="E56" i="3"/>
  <c r="F56" i="3"/>
  <c r="G56" i="3"/>
  <c r="I56" i="3"/>
  <c r="C57" i="3"/>
  <c r="H57" i="3"/>
  <c r="J57" i="3"/>
  <c r="E57" i="3"/>
  <c r="F57" i="3"/>
  <c r="G57" i="3"/>
  <c r="I57" i="3"/>
  <c r="C58" i="3"/>
  <c r="H58" i="3"/>
  <c r="J58" i="3"/>
  <c r="E58" i="3"/>
  <c r="F58" i="3"/>
  <c r="G58" i="3"/>
  <c r="I58" i="3"/>
  <c r="C59" i="3"/>
  <c r="H59" i="3"/>
  <c r="J59" i="3"/>
  <c r="E59" i="3"/>
  <c r="F59" i="3"/>
  <c r="G59" i="3"/>
  <c r="I59" i="3"/>
  <c r="C60" i="3"/>
  <c r="E60" i="3"/>
  <c r="H60" i="3"/>
  <c r="J60" i="3"/>
  <c r="F60" i="3"/>
  <c r="G60" i="3"/>
  <c r="I60" i="3"/>
  <c r="C61" i="3"/>
  <c r="E61" i="3"/>
  <c r="H61" i="3"/>
  <c r="J61" i="3"/>
  <c r="F61" i="3"/>
  <c r="G61" i="3"/>
  <c r="I61" i="3"/>
  <c r="C62" i="3"/>
  <c r="H62" i="3"/>
  <c r="J62" i="3"/>
  <c r="E62" i="3"/>
  <c r="F62" i="3"/>
  <c r="G62" i="3"/>
  <c r="I62" i="3"/>
  <c r="C63" i="3"/>
  <c r="H63" i="3"/>
  <c r="J63" i="3"/>
  <c r="E63" i="3"/>
  <c r="F63" i="3"/>
  <c r="G63" i="3"/>
  <c r="I63" i="3"/>
  <c r="C64" i="3"/>
  <c r="E64" i="3"/>
  <c r="H64" i="3"/>
  <c r="J64" i="3"/>
  <c r="F64" i="3"/>
  <c r="G64" i="3"/>
  <c r="I64" i="3"/>
  <c r="C65" i="3"/>
  <c r="E65" i="3"/>
  <c r="H65" i="3"/>
  <c r="J65" i="3"/>
  <c r="F65" i="3"/>
  <c r="G65" i="3"/>
  <c r="I65" i="3"/>
  <c r="C66" i="3"/>
  <c r="H66" i="3"/>
  <c r="J66" i="3"/>
  <c r="E66" i="3"/>
  <c r="F66" i="3"/>
  <c r="G66" i="3"/>
  <c r="I66" i="3"/>
  <c r="C67" i="3"/>
  <c r="H67" i="3"/>
  <c r="J67" i="3"/>
  <c r="E67" i="3"/>
  <c r="F67" i="3"/>
  <c r="G67" i="3"/>
  <c r="I67" i="3"/>
  <c r="C68" i="3"/>
  <c r="H68" i="3"/>
  <c r="J68" i="3"/>
  <c r="E68" i="3"/>
  <c r="F68" i="3"/>
  <c r="G68" i="3"/>
  <c r="I68" i="3"/>
  <c r="C69" i="3"/>
  <c r="H69" i="3"/>
  <c r="J69" i="3"/>
  <c r="E69" i="3"/>
  <c r="F69" i="3"/>
  <c r="G69" i="3"/>
  <c r="I69" i="3"/>
  <c r="C70" i="3"/>
  <c r="H70" i="3"/>
  <c r="J70" i="3"/>
  <c r="E70" i="3"/>
  <c r="F70" i="3"/>
  <c r="G70" i="3"/>
  <c r="I70" i="3"/>
  <c r="C71" i="3"/>
  <c r="H71" i="3"/>
  <c r="J71" i="3"/>
  <c r="E71" i="3"/>
  <c r="F71" i="3"/>
  <c r="G71" i="3"/>
  <c r="I71" i="3"/>
  <c r="C72" i="3"/>
  <c r="H72" i="3"/>
  <c r="J72" i="3"/>
  <c r="E72" i="3"/>
  <c r="F72" i="3"/>
  <c r="G72" i="3"/>
  <c r="I72" i="3"/>
  <c r="C73" i="3"/>
  <c r="H73" i="3"/>
  <c r="J73" i="3"/>
  <c r="E73" i="3"/>
  <c r="F73" i="3"/>
  <c r="G73" i="3"/>
  <c r="I73" i="3"/>
  <c r="C74" i="3"/>
  <c r="H74" i="3"/>
  <c r="J74" i="3"/>
  <c r="E74" i="3"/>
  <c r="F74" i="3"/>
  <c r="G74" i="3"/>
  <c r="I74" i="3"/>
  <c r="C75" i="3"/>
  <c r="H75" i="3"/>
  <c r="J75" i="3"/>
  <c r="E75" i="3"/>
  <c r="F75" i="3"/>
  <c r="G75" i="3"/>
  <c r="I75" i="3"/>
  <c r="C76" i="3"/>
  <c r="E76" i="3"/>
  <c r="H76" i="3"/>
  <c r="J76" i="3"/>
  <c r="F76" i="3"/>
  <c r="G76" i="3"/>
  <c r="I76" i="3"/>
  <c r="C77" i="3"/>
  <c r="E77" i="3"/>
  <c r="H77" i="3"/>
  <c r="J77" i="3"/>
  <c r="F77" i="3"/>
  <c r="G77" i="3"/>
  <c r="I77" i="3"/>
  <c r="C78" i="3"/>
  <c r="H78" i="3"/>
  <c r="J78" i="3"/>
  <c r="E78" i="3"/>
  <c r="F78" i="3"/>
  <c r="G78" i="3"/>
  <c r="I78" i="3"/>
  <c r="C79" i="3"/>
  <c r="H79" i="3"/>
  <c r="J79" i="3"/>
  <c r="E79" i="3"/>
  <c r="F79" i="3"/>
  <c r="G79" i="3"/>
  <c r="I79" i="3"/>
  <c r="C80" i="3"/>
  <c r="E80" i="3"/>
  <c r="H80" i="3"/>
  <c r="J80" i="3"/>
  <c r="F80" i="3"/>
  <c r="G80" i="3"/>
  <c r="I80" i="3"/>
  <c r="C81" i="3"/>
  <c r="E81" i="3"/>
  <c r="H81" i="3"/>
  <c r="J81" i="3"/>
  <c r="F81" i="3"/>
  <c r="G81" i="3"/>
  <c r="I81" i="3"/>
  <c r="C82" i="3"/>
  <c r="H82" i="3"/>
  <c r="J82" i="3"/>
  <c r="E82" i="3"/>
  <c r="F82" i="3"/>
  <c r="G82" i="3"/>
  <c r="I82" i="3"/>
  <c r="C83" i="3"/>
  <c r="H83" i="3"/>
  <c r="J83" i="3"/>
  <c r="E83" i="3"/>
  <c r="F83" i="3"/>
  <c r="G83" i="3"/>
  <c r="I83" i="3"/>
  <c r="C84" i="3"/>
  <c r="H84" i="3"/>
  <c r="J84" i="3"/>
  <c r="E84" i="3"/>
  <c r="F84" i="3"/>
  <c r="G84" i="3"/>
  <c r="I84" i="3"/>
  <c r="C85" i="3"/>
  <c r="H85" i="3"/>
  <c r="J85" i="3"/>
  <c r="E85" i="3"/>
  <c r="F85" i="3"/>
  <c r="G85" i="3"/>
  <c r="I85" i="3"/>
  <c r="C86" i="3"/>
  <c r="H86" i="3"/>
  <c r="J86" i="3"/>
  <c r="E86" i="3"/>
  <c r="F86" i="3"/>
  <c r="G86" i="3"/>
  <c r="I86" i="3"/>
  <c r="C87" i="3"/>
  <c r="H87" i="3"/>
  <c r="J87" i="3"/>
  <c r="E87" i="3"/>
  <c r="F87" i="3"/>
  <c r="G87" i="3"/>
  <c r="I87" i="3"/>
  <c r="C88" i="3"/>
  <c r="H88" i="3"/>
  <c r="J88" i="3"/>
  <c r="E88" i="3"/>
  <c r="F88" i="3"/>
  <c r="G88" i="3"/>
  <c r="I88" i="3"/>
  <c r="C89" i="3"/>
  <c r="H89" i="3"/>
  <c r="J89" i="3"/>
  <c r="E89" i="3"/>
  <c r="F89" i="3"/>
  <c r="G89" i="3"/>
  <c r="I89" i="3"/>
  <c r="C90" i="3"/>
  <c r="H90" i="3"/>
  <c r="J90" i="3"/>
  <c r="E90" i="3"/>
  <c r="F90" i="3"/>
  <c r="G90" i="3"/>
  <c r="I90" i="3"/>
  <c r="C91" i="3"/>
  <c r="H91" i="3"/>
  <c r="J91" i="3"/>
  <c r="E91" i="3"/>
  <c r="F91" i="3"/>
  <c r="G91" i="3"/>
  <c r="I91" i="3"/>
  <c r="C92" i="3"/>
  <c r="E92" i="3"/>
  <c r="H92" i="3"/>
  <c r="J92" i="3"/>
  <c r="F92" i="3"/>
  <c r="G92" i="3"/>
  <c r="I92" i="3"/>
  <c r="C93" i="3"/>
  <c r="H93" i="3"/>
  <c r="J93" i="3"/>
  <c r="E93" i="3"/>
  <c r="F93" i="3"/>
  <c r="G93" i="3"/>
  <c r="I93" i="3"/>
  <c r="C94" i="3"/>
  <c r="H94" i="3"/>
  <c r="J94" i="3"/>
  <c r="E94" i="3"/>
  <c r="F94" i="3"/>
  <c r="G94" i="3"/>
  <c r="I94" i="3"/>
  <c r="C95" i="3"/>
  <c r="H95" i="3"/>
  <c r="J95" i="3"/>
  <c r="E95" i="3"/>
  <c r="F95" i="3"/>
  <c r="G95" i="3"/>
  <c r="I95" i="3"/>
  <c r="C96" i="3"/>
  <c r="H96" i="3"/>
  <c r="J96" i="3"/>
  <c r="E96" i="3"/>
  <c r="F96" i="3"/>
  <c r="G96" i="3"/>
  <c r="I96" i="3"/>
  <c r="C97" i="3"/>
  <c r="H97" i="3"/>
  <c r="J97" i="3"/>
  <c r="E97" i="3"/>
  <c r="F97" i="3"/>
  <c r="G97" i="3"/>
  <c r="I97" i="3"/>
  <c r="C98" i="3"/>
  <c r="H98" i="3"/>
  <c r="J98" i="3"/>
  <c r="E98" i="3"/>
  <c r="F98" i="3"/>
  <c r="G98" i="3"/>
  <c r="I98" i="3"/>
  <c r="C99" i="3"/>
  <c r="E99" i="3"/>
  <c r="H99" i="3"/>
  <c r="J99" i="3"/>
  <c r="F99" i="3"/>
  <c r="G99" i="3"/>
  <c r="I99" i="3"/>
  <c r="C100" i="3"/>
  <c r="H100" i="3"/>
  <c r="J100" i="3"/>
  <c r="E100" i="3"/>
  <c r="F100" i="3"/>
  <c r="G100" i="3"/>
  <c r="I100" i="3"/>
  <c r="C101" i="3"/>
  <c r="H101" i="3"/>
  <c r="J101" i="3"/>
  <c r="E101" i="3"/>
  <c r="F101" i="3"/>
  <c r="G101" i="3"/>
  <c r="I101" i="3"/>
  <c r="C102" i="3"/>
  <c r="H102" i="3"/>
  <c r="J102" i="3"/>
  <c r="E102" i="3"/>
  <c r="F102" i="3"/>
  <c r="G102" i="3"/>
  <c r="I102" i="3"/>
  <c r="C103" i="3"/>
  <c r="H103" i="3"/>
  <c r="J103" i="3"/>
  <c r="E103" i="3"/>
  <c r="F103" i="3"/>
  <c r="G103" i="3"/>
  <c r="I103" i="3"/>
  <c r="C104" i="3"/>
  <c r="H104" i="3"/>
  <c r="J104" i="3"/>
  <c r="E104" i="3"/>
  <c r="F104" i="3"/>
  <c r="G104" i="3"/>
  <c r="I104" i="3"/>
  <c r="C105" i="3"/>
  <c r="H105" i="3"/>
  <c r="J105" i="3"/>
  <c r="E105" i="3"/>
  <c r="F105" i="3"/>
  <c r="G105" i="3"/>
  <c r="I105" i="3"/>
  <c r="C106" i="3"/>
  <c r="H106" i="3"/>
  <c r="J106" i="3"/>
  <c r="E106" i="3"/>
  <c r="F106" i="3"/>
  <c r="G106" i="3"/>
  <c r="I106" i="3"/>
  <c r="C107" i="3"/>
  <c r="E107" i="3"/>
  <c r="H107" i="3"/>
  <c r="J107" i="3"/>
  <c r="F107" i="3"/>
  <c r="G107" i="3"/>
  <c r="I107" i="3"/>
  <c r="C108" i="3"/>
  <c r="E108" i="3"/>
  <c r="H108" i="3"/>
  <c r="J108" i="3"/>
  <c r="F108" i="3"/>
  <c r="G108" i="3"/>
  <c r="I108" i="3"/>
  <c r="C109" i="3"/>
  <c r="H109" i="3"/>
  <c r="J109" i="3"/>
  <c r="E109" i="3"/>
  <c r="F109" i="3"/>
  <c r="G109" i="3"/>
  <c r="I109" i="3"/>
  <c r="C110" i="3"/>
  <c r="H110" i="3"/>
  <c r="J110" i="3"/>
  <c r="E110" i="3"/>
  <c r="F110" i="3"/>
  <c r="G110" i="3"/>
  <c r="I110" i="3"/>
  <c r="C111" i="3"/>
  <c r="H111" i="3"/>
  <c r="J111" i="3"/>
  <c r="E111" i="3"/>
  <c r="F111" i="3"/>
  <c r="G111" i="3"/>
  <c r="I111" i="3"/>
  <c r="C112" i="3"/>
  <c r="H112" i="3"/>
  <c r="J112" i="3"/>
  <c r="E112" i="3"/>
  <c r="F112" i="3"/>
  <c r="G112" i="3"/>
  <c r="I112" i="3"/>
  <c r="C113" i="3"/>
  <c r="H113" i="3"/>
  <c r="J113" i="3"/>
  <c r="E113" i="3"/>
  <c r="F113" i="3"/>
  <c r="G113" i="3"/>
  <c r="I113" i="3"/>
  <c r="C114" i="3"/>
  <c r="H114" i="3"/>
  <c r="J114" i="3"/>
  <c r="E114" i="3"/>
  <c r="F114" i="3"/>
  <c r="G114" i="3"/>
  <c r="I114" i="3"/>
  <c r="C115" i="3"/>
  <c r="H115" i="3"/>
  <c r="J115" i="3"/>
  <c r="E115" i="3"/>
  <c r="F115" i="3"/>
  <c r="G115" i="3"/>
  <c r="I115" i="3"/>
  <c r="C116" i="3"/>
  <c r="E116" i="3"/>
  <c r="H116" i="3"/>
  <c r="J116" i="3"/>
  <c r="F116" i="3"/>
  <c r="G116" i="3"/>
  <c r="I116" i="3"/>
  <c r="C117" i="3"/>
  <c r="H117" i="3"/>
  <c r="J117" i="3"/>
  <c r="E117" i="3"/>
  <c r="F117" i="3"/>
  <c r="G117" i="3"/>
  <c r="I117" i="3"/>
  <c r="C118" i="3"/>
  <c r="H118" i="3"/>
  <c r="J118" i="3"/>
  <c r="E118" i="3"/>
  <c r="F118" i="3"/>
  <c r="G118" i="3"/>
  <c r="I118" i="3"/>
  <c r="C119" i="3"/>
  <c r="H119" i="3"/>
  <c r="J119" i="3"/>
  <c r="E119" i="3"/>
  <c r="F119" i="3"/>
  <c r="G119" i="3"/>
  <c r="I119" i="3"/>
  <c r="C120" i="3"/>
  <c r="H120" i="3"/>
  <c r="J120" i="3"/>
  <c r="E120" i="3"/>
  <c r="F120" i="3"/>
  <c r="G120" i="3"/>
  <c r="I120" i="3"/>
  <c r="C121" i="3"/>
  <c r="H121" i="3"/>
  <c r="J121" i="3"/>
  <c r="E121" i="3"/>
  <c r="F121" i="3"/>
  <c r="G121" i="3"/>
  <c r="I121" i="3"/>
  <c r="C122" i="3"/>
  <c r="H122" i="3"/>
  <c r="J122" i="3"/>
  <c r="E122" i="3"/>
  <c r="F122" i="3"/>
  <c r="G122" i="3"/>
  <c r="I122" i="3"/>
  <c r="C123" i="3"/>
  <c r="E123" i="3"/>
  <c r="H123" i="3"/>
  <c r="J123" i="3"/>
  <c r="F123" i="3"/>
  <c r="G123" i="3"/>
  <c r="I123" i="3"/>
  <c r="C124" i="3"/>
  <c r="H124" i="3"/>
  <c r="J124" i="3"/>
  <c r="E124" i="3"/>
  <c r="F124" i="3"/>
  <c r="G124" i="3"/>
  <c r="I124" i="3"/>
  <c r="C125" i="3"/>
  <c r="H125" i="3"/>
  <c r="J125" i="3"/>
  <c r="E125" i="3"/>
  <c r="F125" i="3"/>
  <c r="G125" i="3"/>
  <c r="I125" i="3"/>
  <c r="Q75" i="1"/>
  <c r="Q76" i="1"/>
  <c r="C126" i="3"/>
  <c r="Q51" i="1"/>
  <c r="Q53" i="1"/>
  <c r="Q54" i="1"/>
  <c r="Q79" i="1"/>
  <c r="H78" i="1"/>
  <c r="H126" i="3"/>
  <c r="J126" i="3"/>
  <c r="E126" i="3"/>
  <c r="Q52" i="1"/>
  <c r="Q61" i="1"/>
  <c r="H60" i="1"/>
  <c r="Q55" i="1"/>
  <c r="Q56" i="1"/>
  <c r="Q57" i="1"/>
  <c r="F126" i="3"/>
  <c r="G126" i="3"/>
  <c r="I126" i="3"/>
  <c r="C127" i="3"/>
  <c r="H127" i="3"/>
  <c r="J127" i="3"/>
  <c r="E127" i="3"/>
  <c r="F127" i="3"/>
  <c r="G127" i="3"/>
  <c r="I127" i="3"/>
  <c r="C128" i="3"/>
  <c r="H128" i="3"/>
  <c r="J128" i="3"/>
  <c r="E128" i="3"/>
  <c r="F128" i="3"/>
  <c r="G128" i="3"/>
  <c r="I128" i="3"/>
  <c r="C129" i="3"/>
  <c r="H129" i="3"/>
  <c r="J129" i="3"/>
  <c r="E129" i="3"/>
  <c r="F129" i="3"/>
  <c r="G129" i="3"/>
  <c r="I129" i="3"/>
  <c r="C130" i="3"/>
  <c r="H130" i="3"/>
  <c r="J130" i="3"/>
  <c r="E130" i="3"/>
  <c r="F130" i="3"/>
  <c r="G130" i="3"/>
  <c r="I130" i="3"/>
  <c r="C131" i="3"/>
  <c r="E131" i="3"/>
  <c r="H131" i="3"/>
  <c r="J131" i="3"/>
  <c r="F131" i="3"/>
  <c r="G131" i="3"/>
  <c r="I131" i="3"/>
  <c r="C132" i="3"/>
  <c r="H132" i="3"/>
  <c r="J132" i="3"/>
  <c r="E132" i="3"/>
  <c r="F132" i="3"/>
  <c r="G132" i="3"/>
  <c r="I132" i="3"/>
  <c r="C133" i="3"/>
  <c r="H133" i="3"/>
  <c r="J133" i="3"/>
  <c r="E133" i="3"/>
  <c r="F133" i="3"/>
  <c r="G133" i="3"/>
  <c r="I133" i="3"/>
  <c r="C134" i="3"/>
  <c r="E134" i="3"/>
  <c r="H134" i="3"/>
  <c r="J134" i="3"/>
  <c r="F134" i="3"/>
  <c r="G134" i="3"/>
  <c r="I134" i="3"/>
  <c r="C135" i="3"/>
  <c r="H135" i="3"/>
  <c r="J135" i="3"/>
  <c r="E135" i="3"/>
  <c r="F135" i="3"/>
  <c r="G135" i="3"/>
  <c r="I135" i="3"/>
  <c r="C136" i="3"/>
  <c r="E136" i="3"/>
  <c r="H136" i="3"/>
  <c r="J136" i="3"/>
  <c r="F136" i="3"/>
  <c r="G136" i="3"/>
  <c r="I136" i="3"/>
  <c r="C137" i="3"/>
  <c r="H137" i="3"/>
  <c r="J137" i="3"/>
  <c r="E137" i="3"/>
  <c r="F137" i="3"/>
  <c r="G137" i="3"/>
  <c r="I137" i="3"/>
  <c r="C138" i="3"/>
  <c r="E138" i="3"/>
  <c r="H138" i="3"/>
  <c r="J138" i="3"/>
  <c r="F138" i="3"/>
  <c r="G138" i="3"/>
  <c r="I138" i="3"/>
  <c r="C139" i="3"/>
  <c r="H139" i="3"/>
  <c r="J139" i="3"/>
  <c r="E139" i="3"/>
  <c r="F139" i="3"/>
  <c r="G139" i="3"/>
  <c r="I139" i="3"/>
  <c r="C140" i="3"/>
  <c r="H140" i="3"/>
  <c r="J140" i="3"/>
  <c r="E140" i="3"/>
  <c r="F140" i="3"/>
  <c r="G140" i="3"/>
  <c r="I140" i="3"/>
  <c r="C141" i="3"/>
  <c r="H141" i="3"/>
  <c r="J141" i="3"/>
  <c r="E141" i="3"/>
  <c r="F141" i="3"/>
  <c r="G141" i="3"/>
  <c r="I141" i="3"/>
  <c r="C142" i="3"/>
  <c r="E142" i="3"/>
  <c r="H142" i="3"/>
  <c r="J142" i="3"/>
  <c r="F142" i="3"/>
  <c r="G142" i="3"/>
  <c r="I142" i="3"/>
  <c r="C143" i="3"/>
  <c r="H143" i="3"/>
  <c r="J143" i="3"/>
  <c r="E143" i="3"/>
  <c r="F143" i="3"/>
  <c r="G143" i="3"/>
  <c r="I143" i="3"/>
  <c r="C144" i="3"/>
  <c r="H144" i="3"/>
  <c r="J144" i="3"/>
  <c r="E144" i="3"/>
  <c r="F144" i="3"/>
  <c r="G144" i="3"/>
  <c r="I144" i="3"/>
  <c r="C145" i="3"/>
  <c r="H145" i="3"/>
  <c r="J145" i="3"/>
  <c r="E145" i="3"/>
  <c r="F145" i="3"/>
  <c r="G145" i="3"/>
  <c r="I145" i="3"/>
  <c r="C146" i="3"/>
  <c r="E146" i="3"/>
  <c r="H146" i="3"/>
  <c r="J146" i="3"/>
  <c r="F146" i="3"/>
  <c r="G146" i="3"/>
  <c r="I146" i="3"/>
  <c r="C147" i="3"/>
  <c r="H147" i="3"/>
  <c r="J147" i="3"/>
  <c r="E147" i="3"/>
  <c r="F147" i="3"/>
  <c r="G147" i="3"/>
  <c r="I147" i="3"/>
  <c r="C148" i="3"/>
  <c r="H148" i="3"/>
  <c r="J148" i="3"/>
  <c r="E148" i="3"/>
  <c r="F148" i="3"/>
  <c r="G148" i="3"/>
  <c r="I148" i="3"/>
  <c r="C149" i="3"/>
  <c r="H149" i="3"/>
  <c r="J149" i="3"/>
  <c r="E149" i="3"/>
  <c r="F149" i="3"/>
  <c r="G149" i="3"/>
  <c r="I149" i="3"/>
  <c r="C150" i="3"/>
  <c r="E150" i="3"/>
  <c r="H150" i="3"/>
  <c r="J150" i="3"/>
  <c r="F150" i="3"/>
  <c r="G150" i="3"/>
  <c r="I150" i="3"/>
  <c r="C151" i="3"/>
  <c r="H151" i="3"/>
  <c r="J151" i="3"/>
  <c r="E151" i="3"/>
  <c r="F151" i="3"/>
  <c r="G151" i="3"/>
  <c r="I151" i="3"/>
  <c r="C152" i="3"/>
  <c r="E152" i="3"/>
  <c r="H152" i="3"/>
  <c r="J152" i="3"/>
  <c r="F152" i="3"/>
  <c r="G152" i="3"/>
  <c r="I152" i="3"/>
  <c r="C153" i="3"/>
  <c r="H153" i="3"/>
  <c r="J153" i="3"/>
  <c r="E153" i="3"/>
  <c r="F153" i="3"/>
  <c r="G153" i="3"/>
  <c r="I153" i="3"/>
  <c r="C154" i="3"/>
  <c r="E154" i="3"/>
  <c r="H154" i="3"/>
  <c r="J154" i="3"/>
  <c r="F154" i="3"/>
  <c r="G154" i="3"/>
  <c r="I154" i="3"/>
  <c r="C155" i="3"/>
  <c r="E155" i="3"/>
  <c r="H155" i="3"/>
  <c r="J155" i="3"/>
  <c r="F155" i="3"/>
  <c r="G155" i="3"/>
  <c r="I155" i="3"/>
  <c r="C156" i="3"/>
  <c r="H156" i="3"/>
  <c r="J156" i="3"/>
  <c r="E156" i="3"/>
  <c r="F156" i="3"/>
  <c r="G156" i="3"/>
  <c r="I156" i="3"/>
  <c r="C157" i="3"/>
  <c r="H157" i="3"/>
  <c r="J157" i="3"/>
  <c r="E157" i="3"/>
  <c r="F157" i="3"/>
  <c r="G157" i="3"/>
  <c r="I157" i="3"/>
  <c r="C158" i="3"/>
  <c r="H158" i="3"/>
  <c r="J158" i="3"/>
  <c r="E158" i="3"/>
  <c r="F158" i="3"/>
  <c r="G158" i="3"/>
  <c r="I158" i="3"/>
  <c r="C159" i="3"/>
  <c r="H159" i="3"/>
  <c r="J159" i="3"/>
  <c r="E159" i="3"/>
  <c r="F159" i="3"/>
  <c r="G159" i="3"/>
  <c r="I159" i="3"/>
  <c r="C160" i="3"/>
  <c r="H160" i="3"/>
  <c r="J160" i="3"/>
  <c r="E160" i="3"/>
  <c r="F160" i="3"/>
  <c r="G160" i="3"/>
  <c r="I160" i="3"/>
  <c r="C161" i="3"/>
  <c r="H161" i="3"/>
  <c r="J161" i="3"/>
  <c r="E161" i="3"/>
  <c r="F161" i="3"/>
  <c r="G161" i="3"/>
  <c r="I161" i="3"/>
  <c r="C162" i="3"/>
  <c r="E162" i="3"/>
  <c r="H162" i="3"/>
  <c r="J162" i="3"/>
  <c r="F162" i="3"/>
  <c r="G162" i="3"/>
  <c r="I162" i="3"/>
  <c r="C163" i="3"/>
  <c r="H163" i="3"/>
  <c r="J163" i="3"/>
  <c r="E163" i="3"/>
  <c r="F163" i="3"/>
  <c r="G163" i="3"/>
  <c r="I163" i="3"/>
  <c r="C164" i="3"/>
  <c r="H164" i="3"/>
  <c r="J164" i="3"/>
  <c r="E164" i="3"/>
  <c r="F164" i="3"/>
  <c r="G164" i="3"/>
  <c r="I164" i="3"/>
  <c r="C165" i="3"/>
  <c r="H165" i="3"/>
  <c r="J165" i="3"/>
  <c r="E165" i="3"/>
  <c r="F165" i="3"/>
  <c r="G165" i="3"/>
  <c r="I165" i="3"/>
  <c r="C166" i="3"/>
  <c r="H166" i="3"/>
  <c r="J166" i="3"/>
  <c r="E166" i="3"/>
  <c r="F166" i="3"/>
  <c r="G166" i="3"/>
  <c r="I166" i="3"/>
  <c r="C167" i="3"/>
  <c r="H167" i="3"/>
  <c r="J167" i="3"/>
  <c r="E167" i="3"/>
  <c r="F167" i="3"/>
  <c r="G167" i="3"/>
  <c r="I167" i="3"/>
  <c r="C168" i="3"/>
  <c r="H168" i="3"/>
  <c r="J168" i="3"/>
  <c r="E168" i="3"/>
  <c r="F168" i="3"/>
  <c r="G168" i="3"/>
  <c r="I168" i="3"/>
  <c r="C169" i="3"/>
  <c r="H169" i="3"/>
  <c r="J169" i="3"/>
  <c r="E169" i="3"/>
  <c r="F169" i="3"/>
  <c r="G169" i="3"/>
  <c r="I169" i="3"/>
  <c r="C170" i="3"/>
  <c r="E170" i="3"/>
  <c r="H170" i="3"/>
  <c r="J170" i="3"/>
  <c r="F170" i="3"/>
  <c r="G170" i="3"/>
  <c r="I170" i="3"/>
  <c r="C171" i="3"/>
  <c r="H171" i="3"/>
  <c r="J171" i="3"/>
  <c r="E171" i="3"/>
  <c r="F171" i="3"/>
  <c r="G171" i="3"/>
  <c r="I171" i="3"/>
  <c r="C172" i="3"/>
  <c r="H172" i="3"/>
  <c r="J172" i="3"/>
  <c r="E172" i="3"/>
  <c r="F172" i="3"/>
  <c r="G172" i="3"/>
  <c r="I172" i="3"/>
  <c r="C173" i="3"/>
  <c r="H173" i="3"/>
  <c r="J173" i="3"/>
  <c r="E173" i="3"/>
  <c r="F173" i="3"/>
  <c r="G173" i="3"/>
  <c r="I173" i="3"/>
  <c r="C174" i="3"/>
  <c r="H174" i="3"/>
  <c r="J174" i="3"/>
  <c r="E174" i="3"/>
  <c r="F174" i="3"/>
  <c r="G174" i="3"/>
  <c r="I174" i="3"/>
  <c r="C175" i="3"/>
  <c r="H175" i="3"/>
  <c r="J175" i="3"/>
  <c r="E175" i="3"/>
  <c r="F175" i="3"/>
  <c r="G175" i="3"/>
  <c r="I175" i="3"/>
  <c r="C176" i="3"/>
  <c r="H176" i="3"/>
  <c r="J176" i="3"/>
  <c r="E176" i="3"/>
  <c r="F176" i="3"/>
  <c r="G176" i="3"/>
  <c r="I176" i="3"/>
  <c r="C177" i="3"/>
  <c r="H177" i="3"/>
  <c r="J177" i="3"/>
  <c r="E177" i="3"/>
  <c r="F177" i="3"/>
  <c r="G177" i="3"/>
  <c r="I177" i="3"/>
  <c r="C178" i="3"/>
  <c r="E178" i="3"/>
  <c r="H178" i="3"/>
  <c r="J178" i="3"/>
  <c r="F178" i="3"/>
  <c r="G178" i="3"/>
  <c r="I178" i="3"/>
  <c r="C179" i="3"/>
  <c r="H179" i="3"/>
  <c r="J179" i="3"/>
  <c r="E179" i="3"/>
  <c r="F179" i="3"/>
  <c r="G179" i="3"/>
  <c r="I179" i="3"/>
  <c r="C180" i="3"/>
  <c r="H180" i="3"/>
  <c r="J180" i="3"/>
  <c r="E180" i="3"/>
  <c r="F180" i="3"/>
  <c r="G180" i="3"/>
  <c r="I180" i="3"/>
  <c r="C181" i="3"/>
  <c r="H181" i="3"/>
  <c r="J181" i="3"/>
  <c r="E181" i="3"/>
  <c r="F181" i="3"/>
  <c r="G181" i="3"/>
  <c r="I181" i="3"/>
  <c r="C182" i="3"/>
  <c r="H182" i="3"/>
  <c r="J182" i="3"/>
  <c r="E182" i="3"/>
  <c r="F182" i="3"/>
  <c r="G182" i="3"/>
  <c r="I182" i="3"/>
  <c r="C183" i="3"/>
  <c r="H183" i="3"/>
  <c r="J183" i="3"/>
  <c r="E183" i="3"/>
  <c r="F183" i="3"/>
  <c r="G183" i="3"/>
  <c r="I183" i="3"/>
  <c r="C184" i="3"/>
  <c r="H184" i="3"/>
  <c r="J184" i="3"/>
  <c r="E184" i="3"/>
  <c r="F184" i="3"/>
  <c r="G184" i="3"/>
  <c r="I184" i="3"/>
  <c r="C185" i="3"/>
  <c r="H185" i="3"/>
  <c r="J185" i="3"/>
  <c r="E185" i="3"/>
  <c r="F185" i="3"/>
  <c r="G185" i="3"/>
  <c r="I185" i="3"/>
  <c r="C186" i="3"/>
  <c r="E186" i="3"/>
  <c r="H186" i="3"/>
  <c r="J186" i="3"/>
  <c r="F186" i="3"/>
  <c r="G186" i="3"/>
  <c r="I186" i="3"/>
  <c r="C187" i="3"/>
  <c r="H187" i="3"/>
  <c r="J187" i="3"/>
  <c r="E187" i="3"/>
  <c r="F187" i="3"/>
  <c r="G187" i="3"/>
  <c r="I187" i="3"/>
  <c r="C188" i="3"/>
  <c r="H188" i="3"/>
  <c r="J188" i="3"/>
  <c r="E188" i="3"/>
  <c r="F188" i="3"/>
  <c r="G188" i="3"/>
  <c r="I188" i="3"/>
  <c r="C189" i="3"/>
  <c r="H189" i="3"/>
  <c r="J189" i="3"/>
  <c r="E189" i="3"/>
  <c r="F189" i="3"/>
  <c r="G189" i="3"/>
  <c r="I189" i="3"/>
  <c r="C190" i="3"/>
  <c r="H190" i="3"/>
  <c r="J190" i="3"/>
  <c r="E190" i="3"/>
  <c r="F190" i="3"/>
  <c r="G190" i="3"/>
  <c r="I190" i="3"/>
  <c r="C191" i="3"/>
  <c r="H191" i="3"/>
  <c r="J191" i="3"/>
  <c r="E191" i="3"/>
  <c r="F191" i="3"/>
  <c r="G191" i="3"/>
  <c r="I191" i="3"/>
  <c r="C192" i="3"/>
  <c r="H192" i="3"/>
  <c r="J192" i="3"/>
  <c r="E192" i="3"/>
  <c r="F192" i="3"/>
  <c r="G192" i="3"/>
  <c r="I192" i="3"/>
  <c r="C193" i="3"/>
  <c r="H193" i="3"/>
  <c r="J193" i="3"/>
  <c r="E193" i="3"/>
  <c r="F193" i="3"/>
  <c r="G193" i="3"/>
  <c r="I193" i="3"/>
  <c r="C194" i="3"/>
  <c r="E194" i="3"/>
  <c r="H194" i="3"/>
  <c r="J194" i="3"/>
  <c r="F194" i="3"/>
  <c r="G194" i="3"/>
  <c r="I194" i="3"/>
  <c r="C195" i="3"/>
  <c r="H195" i="3"/>
  <c r="J195" i="3"/>
  <c r="E195" i="3"/>
  <c r="F195" i="3"/>
  <c r="G195" i="3"/>
  <c r="I195" i="3"/>
  <c r="C196" i="3"/>
  <c r="H196" i="3"/>
  <c r="J196" i="3"/>
  <c r="E196" i="3"/>
  <c r="F196" i="3"/>
  <c r="G196" i="3"/>
  <c r="I196" i="3"/>
  <c r="C197" i="3"/>
  <c r="H197" i="3"/>
  <c r="J197" i="3"/>
  <c r="E197" i="3"/>
  <c r="F197" i="3"/>
  <c r="G197" i="3"/>
  <c r="I197" i="3"/>
  <c r="C198" i="3"/>
  <c r="H198" i="3"/>
  <c r="J198" i="3"/>
  <c r="E198" i="3"/>
  <c r="F198" i="3"/>
  <c r="G198" i="3"/>
  <c r="I198" i="3"/>
  <c r="C199" i="3"/>
  <c r="H199" i="3"/>
  <c r="J199" i="3"/>
  <c r="E199" i="3"/>
  <c r="F199" i="3"/>
  <c r="G199" i="3"/>
  <c r="I199" i="3"/>
  <c r="C200" i="3"/>
  <c r="H200" i="3"/>
  <c r="J200" i="3"/>
  <c r="E200" i="3"/>
  <c r="F200" i="3"/>
  <c r="G200" i="3"/>
  <c r="I200" i="3"/>
  <c r="C201" i="3"/>
  <c r="H201" i="3"/>
  <c r="J201" i="3"/>
  <c r="E201" i="3"/>
  <c r="F201" i="3"/>
  <c r="G201" i="3"/>
  <c r="I201" i="3"/>
  <c r="C202" i="3"/>
  <c r="E202" i="3"/>
  <c r="H202" i="3"/>
  <c r="J202" i="3"/>
  <c r="F202" i="3"/>
  <c r="G202" i="3"/>
  <c r="I202" i="3"/>
  <c r="C203" i="3"/>
  <c r="H203" i="3"/>
  <c r="J203" i="3"/>
  <c r="E203" i="3"/>
  <c r="F203" i="3"/>
  <c r="G203" i="3"/>
  <c r="I203" i="3"/>
  <c r="C204" i="3"/>
  <c r="H204" i="3"/>
  <c r="J204" i="3"/>
  <c r="E204" i="3"/>
  <c r="F204" i="3"/>
  <c r="G204" i="3"/>
  <c r="I204" i="3"/>
  <c r="C205" i="3"/>
  <c r="H205" i="3"/>
  <c r="J205" i="3"/>
  <c r="E205" i="3"/>
  <c r="F205" i="3"/>
  <c r="G205" i="3"/>
  <c r="I205" i="3"/>
  <c r="C206" i="3"/>
  <c r="H206" i="3"/>
  <c r="J206" i="3"/>
  <c r="E206" i="3"/>
  <c r="F206" i="3"/>
  <c r="G206" i="3"/>
  <c r="I206" i="3"/>
  <c r="C207" i="3"/>
  <c r="H207" i="3"/>
  <c r="J207" i="3"/>
  <c r="E207" i="3"/>
  <c r="F207" i="3"/>
  <c r="G207" i="3"/>
  <c r="I207" i="3"/>
  <c r="C208" i="3"/>
  <c r="H208" i="3"/>
  <c r="J208" i="3"/>
  <c r="E208" i="3"/>
  <c r="F208" i="3"/>
  <c r="G208" i="3"/>
  <c r="I208" i="3"/>
  <c r="C209" i="3"/>
  <c r="H209" i="3"/>
  <c r="J209" i="3"/>
  <c r="E209" i="3"/>
  <c r="F209" i="3"/>
  <c r="G209" i="3"/>
  <c r="I209" i="3"/>
  <c r="C210" i="3"/>
  <c r="E210" i="3"/>
  <c r="H210" i="3"/>
  <c r="J210" i="3"/>
  <c r="F210" i="3"/>
  <c r="G210" i="3"/>
  <c r="I210" i="3"/>
  <c r="C211" i="3"/>
  <c r="H211" i="3"/>
  <c r="J211" i="3"/>
  <c r="E211" i="3"/>
  <c r="F211" i="3"/>
  <c r="G211" i="3"/>
  <c r="I211" i="3"/>
  <c r="C212" i="3"/>
  <c r="H212" i="3"/>
  <c r="J212" i="3"/>
  <c r="E212" i="3"/>
  <c r="F212" i="3"/>
  <c r="G212" i="3"/>
  <c r="I212" i="3"/>
  <c r="C213" i="3"/>
  <c r="H213" i="3"/>
  <c r="J213" i="3"/>
  <c r="E213" i="3"/>
  <c r="F213" i="3"/>
  <c r="G213" i="3"/>
  <c r="I213" i="3"/>
  <c r="C214" i="3"/>
  <c r="H214" i="3"/>
  <c r="J214" i="3"/>
  <c r="E214" i="3"/>
  <c r="F214" i="3"/>
  <c r="G214" i="3"/>
  <c r="I214" i="3"/>
  <c r="C215" i="3"/>
  <c r="H215" i="3"/>
  <c r="J215" i="3"/>
  <c r="E215" i="3"/>
  <c r="F215" i="3"/>
  <c r="G215" i="3"/>
  <c r="I215" i="3"/>
  <c r="C216" i="3"/>
  <c r="H216" i="3"/>
  <c r="J216" i="3"/>
  <c r="E216" i="3"/>
  <c r="F216" i="3"/>
  <c r="G216" i="3"/>
  <c r="I216" i="3"/>
  <c r="C217" i="3"/>
  <c r="H217" i="3"/>
  <c r="J217" i="3"/>
  <c r="E217" i="3"/>
  <c r="F217" i="3"/>
  <c r="G217" i="3"/>
  <c r="I217" i="3"/>
  <c r="C218" i="3"/>
  <c r="E218" i="3"/>
  <c r="H218" i="3"/>
  <c r="J218" i="3"/>
  <c r="F218" i="3"/>
  <c r="G218" i="3"/>
  <c r="I218" i="3"/>
  <c r="C219" i="3"/>
  <c r="H219" i="3"/>
  <c r="J219" i="3"/>
  <c r="E219" i="3"/>
  <c r="F219" i="3"/>
  <c r="G219" i="3"/>
  <c r="I219" i="3"/>
  <c r="C220" i="3"/>
  <c r="H220" i="3"/>
  <c r="J220" i="3"/>
  <c r="E220" i="3"/>
  <c r="F220" i="3"/>
  <c r="G220" i="3"/>
  <c r="I220" i="3"/>
  <c r="C221" i="3"/>
  <c r="H221" i="3"/>
  <c r="J221" i="3"/>
  <c r="E221" i="3"/>
  <c r="F221" i="3"/>
  <c r="G221" i="3"/>
  <c r="I221" i="3"/>
  <c r="C222" i="3"/>
  <c r="H222" i="3"/>
  <c r="J222" i="3"/>
  <c r="E222" i="3"/>
  <c r="F222" i="3"/>
  <c r="G222" i="3"/>
  <c r="I222" i="3"/>
  <c r="C223" i="3"/>
  <c r="H223" i="3"/>
  <c r="J223" i="3"/>
  <c r="E223" i="3"/>
  <c r="F223" i="3"/>
  <c r="G223" i="3"/>
  <c r="I223" i="3"/>
  <c r="C224" i="3"/>
  <c r="H224" i="3"/>
  <c r="J224" i="3"/>
  <c r="E224" i="3"/>
  <c r="F224" i="3"/>
  <c r="G224" i="3"/>
  <c r="I224" i="3"/>
  <c r="C225" i="3"/>
  <c r="H225" i="3"/>
  <c r="J225" i="3"/>
  <c r="E225" i="3"/>
  <c r="F225" i="3"/>
  <c r="G225" i="3"/>
  <c r="I225" i="3"/>
  <c r="C226" i="3"/>
  <c r="E226" i="3"/>
  <c r="H226" i="3"/>
  <c r="J226" i="3"/>
  <c r="F226" i="3"/>
  <c r="G226" i="3"/>
  <c r="I226" i="3"/>
  <c r="C227" i="3"/>
  <c r="H227" i="3"/>
  <c r="J227" i="3"/>
  <c r="E227" i="3"/>
  <c r="F227" i="3"/>
  <c r="G227" i="3"/>
  <c r="I227" i="3"/>
  <c r="C228" i="3"/>
  <c r="H228" i="3"/>
  <c r="J228" i="3"/>
  <c r="E228" i="3"/>
  <c r="F228" i="3"/>
  <c r="G228" i="3"/>
  <c r="I228" i="3"/>
  <c r="C229" i="3"/>
  <c r="H229" i="3"/>
  <c r="J229" i="3"/>
  <c r="E229" i="3"/>
  <c r="F229" i="3"/>
  <c r="G229" i="3"/>
  <c r="I229" i="3"/>
  <c r="C230" i="3"/>
  <c r="H230" i="3"/>
  <c r="J230" i="3"/>
  <c r="E230" i="3"/>
  <c r="F230" i="3"/>
  <c r="G230" i="3"/>
  <c r="I230" i="3"/>
  <c r="C231" i="3"/>
  <c r="H231" i="3"/>
  <c r="J231" i="3"/>
  <c r="E231" i="3"/>
  <c r="F231" i="3"/>
  <c r="G231" i="3"/>
  <c r="I231" i="3"/>
  <c r="C232" i="3"/>
  <c r="H232" i="3"/>
  <c r="J232" i="3"/>
  <c r="E232" i="3"/>
  <c r="F232" i="3"/>
  <c r="G232" i="3"/>
  <c r="I232" i="3"/>
  <c r="C233" i="3"/>
  <c r="H233" i="3"/>
  <c r="J233" i="3"/>
  <c r="E233" i="3"/>
  <c r="F233" i="3"/>
  <c r="G233" i="3"/>
  <c r="I233" i="3"/>
  <c r="C234" i="3"/>
  <c r="H234" i="3"/>
  <c r="J234" i="3"/>
  <c r="E234" i="3"/>
  <c r="F234" i="3"/>
  <c r="G234" i="3"/>
  <c r="I234" i="3"/>
  <c r="C235" i="3"/>
  <c r="H235" i="3"/>
  <c r="J235" i="3"/>
  <c r="E235" i="3"/>
  <c r="F235" i="3"/>
  <c r="G235" i="3"/>
  <c r="I235" i="3"/>
  <c r="C236" i="3"/>
  <c r="H236" i="3"/>
  <c r="J236" i="3"/>
  <c r="E236" i="3"/>
  <c r="F236" i="3"/>
  <c r="G236" i="3"/>
  <c r="I236" i="3"/>
  <c r="C237" i="3"/>
  <c r="H237" i="3"/>
  <c r="J237" i="3"/>
  <c r="E237" i="3"/>
  <c r="F237" i="3"/>
  <c r="G237" i="3"/>
  <c r="I237" i="3"/>
  <c r="C238" i="3"/>
  <c r="H238" i="3"/>
  <c r="J238" i="3"/>
  <c r="E238" i="3"/>
  <c r="F238" i="3"/>
  <c r="G238" i="3"/>
  <c r="I238" i="3"/>
  <c r="C239" i="3"/>
  <c r="H239" i="3"/>
  <c r="J239" i="3"/>
  <c r="E239" i="3"/>
  <c r="F239" i="3"/>
  <c r="G239" i="3"/>
  <c r="I239" i="3"/>
  <c r="C240" i="3"/>
  <c r="H240" i="3"/>
  <c r="J240" i="3"/>
  <c r="E240" i="3"/>
  <c r="F240" i="3"/>
  <c r="G240" i="3"/>
  <c r="I240" i="3"/>
  <c r="C241" i="3"/>
  <c r="H241" i="3"/>
  <c r="J241" i="3"/>
  <c r="E241" i="3"/>
  <c r="F241" i="3"/>
  <c r="G241" i="3"/>
  <c r="I241" i="3"/>
  <c r="C242" i="3"/>
  <c r="H242" i="3"/>
  <c r="J242" i="3"/>
  <c r="E242" i="3"/>
  <c r="F242" i="3"/>
  <c r="G242" i="3"/>
  <c r="I242" i="3"/>
  <c r="C243" i="3"/>
  <c r="H243" i="3"/>
  <c r="J243" i="3"/>
  <c r="E243" i="3"/>
  <c r="F243" i="3"/>
  <c r="G243" i="3"/>
  <c r="I243" i="3"/>
  <c r="C244" i="3"/>
  <c r="H244" i="3"/>
  <c r="J244" i="3"/>
  <c r="E244" i="3"/>
  <c r="F244" i="3"/>
  <c r="G244" i="3"/>
  <c r="I244" i="3"/>
  <c r="C245" i="3"/>
  <c r="H245" i="3"/>
  <c r="J245" i="3"/>
  <c r="E245" i="3"/>
  <c r="F245" i="3"/>
  <c r="G245" i="3"/>
  <c r="I245" i="3"/>
  <c r="C246" i="3"/>
  <c r="H246" i="3"/>
  <c r="J246" i="3"/>
  <c r="E246" i="3"/>
  <c r="F246" i="3"/>
  <c r="G246" i="3"/>
  <c r="I246" i="3"/>
  <c r="C247" i="3"/>
  <c r="H247" i="3"/>
  <c r="J247" i="3"/>
  <c r="E247" i="3"/>
  <c r="F247" i="3"/>
  <c r="G247" i="3"/>
  <c r="I247" i="3"/>
  <c r="C248" i="3"/>
  <c r="H248" i="3"/>
  <c r="J248" i="3"/>
  <c r="E248" i="3"/>
  <c r="F248" i="3"/>
  <c r="G248" i="3"/>
  <c r="I248" i="3"/>
  <c r="C249" i="3"/>
  <c r="H249" i="3"/>
  <c r="J249" i="3"/>
  <c r="E249" i="3"/>
  <c r="F249" i="3"/>
  <c r="G249" i="3"/>
  <c r="I249" i="3"/>
  <c r="C250" i="3"/>
  <c r="H250" i="3"/>
  <c r="J250" i="3"/>
  <c r="E250" i="3"/>
  <c r="F250" i="3"/>
  <c r="G250" i="3"/>
  <c r="I250" i="3"/>
  <c r="C251" i="3"/>
  <c r="H251" i="3"/>
  <c r="J251" i="3"/>
  <c r="E251" i="3"/>
  <c r="F251" i="3"/>
  <c r="G251" i="3"/>
  <c r="I251" i="3"/>
  <c r="C252" i="3"/>
  <c r="H252" i="3"/>
  <c r="J252" i="3"/>
  <c r="E252" i="3"/>
  <c r="F252" i="3"/>
  <c r="G252" i="3"/>
  <c r="I252" i="3"/>
  <c r="C253" i="3"/>
  <c r="H253" i="3"/>
  <c r="J253" i="3"/>
  <c r="E253" i="3"/>
  <c r="F253" i="3"/>
  <c r="G253" i="3"/>
  <c r="I253" i="3"/>
  <c r="C254" i="3"/>
  <c r="H254" i="3"/>
  <c r="J254" i="3"/>
  <c r="E254" i="3"/>
  <c r="F254" i="3"/>
  <c r="G254" i="3"/>
  <c r="I254" i="3"/>
  <c r="C255" i="3"/>
  <c r="H255" i="3"/>
  <c r="J255" i="3"/>
  <c r="E255" i="3"/>
  <c r="F255" i="3"/>
  <c r="G255" i="3"/>
  <c r="I255" i="3"/>
  <c r="C256" i="3"/>
  <c r="H256" i="3"/>
  <c r="J256" i="3"/>
  <c r="E256" i="3"/>
  <c r="F256" i="3"/>
  <c r="G256" i="3"/>
  <c r="I256" i="3"/>
  <c r="C257" i="3"/>
  <c r="H257" i="3"/>
  <c r="J257" i="3"/>
  <c r="E257" i="3"/>
  <c r="F257" i="3"/>
  <c r="G257" i="3"/>
  <c r="I257" i="3"/>
  <c r="C258" i="3"/>
  <c r="H258" i="3"/>
  <c r="J258" i="3"/>
  <c r="E258" i="3"/>
  <c r="F258" i="3"/>
  <c r="G258" i="3"/>
  <c r="I258" i="3"/>
  <c r="C259" i="3"/>
  <c r="H259" i="3"/>
  <c r="J259" i="3"/>
  <c r="E259" i="3"/>
  <c r="F259" i="3"/>
  <c r="G259" i="3"/>
  <c r="I259" i="3"/>
  <c r="C260" i="3"/>
  <c r="H260" i="3"/>
  <c r="J260" i="3"/>
  <c r="E260" i="3"/>
  <c r="F260" i="3"/>
  <c r="G260" i="3"/>
  <c r="I260" i="3"/>
  <c r="C261" i="3"/>
  <c r="H261" i="3"/>
  <c r="J261" i="3"/>
  <c r="E261" i="3"/>
  <c r="F261" i="3"/>
  <c r="G261" i="3"/>
  <c r="I261" i="3"/>
  <c r="C262" i="3"/>
  <c r="H262" i="3"/>
  <c r="J262" i="3"/>
  <c r="E262" i="3"/>
  <c r="F262" i="3"/>
  <c r="G262" i="3"/>
  <c r="I262" i="3"/>
  <c r="C263" i="3"/>
  <c r="H263" i="3"/>
  <c r="J263" i="3"/>
  <c r="E263" i="3"/>
  <c r="F263" i="3"/>
  <c r="G263" i="3"/>
  <c r="I263" i="3"/>
  <c r="C264" i="3"/>
  <c r="H264" i="3"/>
  <c r="J264" i="3"/>
  <c r="E264" i="3"/>
  <c r="F264" i="3"/>
  <c r="G264" i="3"/>
  <c r="I264" i="3"/>
  <c r="C265" i="3"/>
  <c r="H265" i="3"/>
  <c r="J265" i="3"/>
  <c r="E265" i="3"/>
  <c r="F265" i="3"/>
  <c r="G265" i="3"/>
  <c r="I265" i="3"/>
  <c r="C266" i="3"/>
  <c r="H266" i="3"/>
  <c r="J266" i="3"/>
  <c r="E266" i="3"/>
  <c r="F266" i="3"/>
  <c r="G266" i="3"/>
  <c r="I266" i="3"/>
  <c r="C267" i="3"/>
  <c r="H267" i="3"/>
  <c r="J267" i="3"/>
  <c r="E267" i="3"/>
  <c r="F267" i="3"/>
  <c r="G267" i="3"/>
  <c r="I267" i="3"/>
  <c r="C268" i="3"/>
  <c r="H268" i="3"/>
  <c r="J268" i="3"/>
  <c r="E268" i="3"/>
  <c r="I268" i="3"/>
  <c r="C269" i="3"/>
  <c r="F268" i="3"/>
  <c r="G268" i="3"/>
  <c r="H269" i="3"/>
  <c r="J269" i="3"/>
  <c r="E269" i="3"/>
  <c r="F269" i="3"/>
  <c r="G269" i="3"/>
  <c r="I269" i="3"/>
  <c r="C270" i="3"/>
  <c r="H270" i="3"/>
  <c r="J270" i="3"/>
  <c r="E270" i="3"/>
  <c r="F270" i="3"/>
  <c r="G270" i="3"/>
  <c r="I270" i="3"/>
  <c r="C271" i="3"/>
  <c r="H271" i="3"/>
  <c r="J271" i="3"/>
  <c r="E271" i="3"/>
  <c r="F271" i="3"/>
  <c r="G271" i="3"/>
  <c r="I271" i="3"/>
  <c r="C272" i="3"/>
  <c r="H272" i="3"/>
  <c r="J272" i="3"/>
  <c r="E272" i="3"/>
  <c r="F272" i="3"/>
  <c r="G272" i="3"/>
  <c r="I272" i="3"/>
  <c r="C273" i="3"/>
  <c r="H273" i="3"/>
  <c r="J273" i="3"/>
  <c r="E273" i="3"/>
  <c r="F273" i="3"/>
  <c r="G273" i="3"/>
  <c r="I273" i="3"/>
  <c r="C274" i="3"/>
  <c r="H274" i="3"/>
  <c r="J274" i="3"/>
  <c r="E274" i="3"/>
  <c r="F274" i="3"/>
  <c r="G274" i="3"/>
  <c r="I274" i="3"/>
  <c r="C275" i="3"/>
  <c r="H275" i="3"/>
  <c r="J275" i="3"/>
  <c r="E275" i="3"/>
  <c r="F275" i="3"/>
  <c r="G275" i="3"/>
  <c r="I275" i="3"/>
  <c r="C276" i="3"/>
  <c r="H276" i="3"/>
  <c r="J276" i="3"/>
  <c r="E276" i="3"/>
  <c r="F276" i="3"/>
  <c r="G276" i="3"/>
  <c r="I276" i="3"/>
  <c r="C277" i="3"/>
  <c r="H277" i="3"/>
  <c r="J277" i="3"/>
  <c r="E277" i="3"/>
  <c r="F277" i="3"/>
  <c r="G277" i="3"/>
  <c r="I277" i="3"/>
  <c r="C278" i="3"/>
  <c r="H278" i="3"/>
  <c r="J278" i="3"/>
  <c r="E278" i="3"/>
  <c r="F278" i="3"/>
  <c r="G278" i="3"/>
  <c r="I278" i="3"/>
  <c r="C279" i="3"/>
  <c r="H279" i="3"/>
  <c r="J279" i="3"/>
  <c r="E279" i="3"/>
  <c r="F279" i="3"/>
  <c r="G279" i="3"/>
  <c r="I279" i="3"/>
  <c r="C280" i="3"/>
  <c r="H280" i="3"/>
  <c r="J280" i="3"/>
  <c r="E280" i="3"/>
  <c r="F280" i="3"/>
  <c r="G280" i="3"/>
  <c r="I280" i="3"/>
  <c r="C281" i="3"/>
  <c r="H281" i="3"/>
  <c r="J281" i="3"/>
  <c r="E281" i="3"/>
  <c r="F281" i="3"/>
  <c r="G281" i="3"/>
  <c r="I281" i="3"/>
  <c r="C282" i="3"/>
  <c r="H282" i="3"/>
  <c r="J282" i="3"/>
  <c r="E282" i="3"/>
  <c r="F282" i="3"/>
  <c r="G282" i="3"/>
  <c r="I282" i="3"/>
  <c r="C283" i="3"/>
  <c r="H283" i="3"/>
  <c r="J283" i="3"/>
  <c r="E283" i="3"/>
  <c r="F283" i="3"/>
  <c r="G283" i="3"/>
  <c r="I283" i="3"/>
  <c r="C284" i="3"/>
  <c r="H284" i="3"/>
  <c r="J284" i="3"/>
  <c r="E284" i="3"/>
  <c r="F284" i="3"/>
  <c r="G284" i="3"/>
  <c r="I284" i="3"/>
  <c r="C285" i="3"/>
  <c r="H285" i="3"/>
  <c r="J285" i="3"/>
  <c r="E285" i="3"/>
  <c r="F285" i="3"/>
  <c r="G285" i="3"/>
  <c r="I285" i="3"/>
  <c r="C286" i="3"/>
  <c r="H286" i="3"/>
  <c r="J286" i="3"/>
  <c r="E286" i="3"/>
  <c r="F286" i="3"/>
  <c r="G286" i="3"/>
  <c r="I286" i="3"/>
  <c r="C287" i="3"/>
  <c r="H287" i="3"/>
  <c r="J287" i="3"/>
  <c r="E287" i="3"/>
  <c r="F287" i="3"/>
  <c r="G287" i="3"/>
  <c r="I287" i="3"/>
  <c r="C288" i="3"/>
  <c r="H288" i="3"/>
  <c r="J288" i="3"/>
  <c r="E288" i="3"/>
  <c r="F288" i="3"/>
  <c r="G288" i="3"/>
  <c r="I288" i="3"/>
  <c r="C289" i="3"/>
  <c r="H289" i="3"/>
  <c r="J289" i="3"/>
  <c r="E289" i="3"/>
  <c r="F289" i="3"/>
  <c r="G289" i="3"/>
  <c r="I289" i="3"/>
  <c r="C290" i="3"/>
  <c r="H290" i="3"/>
  <c r="J290" i="3"/>
  <c r="E290" i="3"/>
  <c r="F290" i="3"/>
  <c r="G290" i="3"/>
  <c r="I290" i="3"/>
  <c r="C291" i="3"/>
  <c r="H291" i="3"/>
  <c r="J291" i="3"/>
  <c r="E291" i="3"/>
  <c r="F291" i="3"/>
  <c r="G291" i="3"/>
  <c r="I291" i="3"/>
  <c r="C292" i="3"/>
  <c r="H292" i="3"/>
  <c r="J292" i="3"/>
  <c r="E292" i="3"/>
  <c r="F292" i="3"/>
  <c r="G292" i="3"/>
  <c r="I292" i="3"/>
  <c r="C293" i="3"/>
  <c r="H293" i="3"/>
  <c r="J293" i="3"/>
  <c r="E293" i="3"/>
  <c r="F293" i="3"/>
  <c r="G293" i="3"/>
  <c r="I293" i="3"/>
  <c r="C294" i="3"/>
  <c r="H294" i="3"/>
  <c r="J294" i="3"/>
  <c r="E294" i="3"/>
  <c r="F294" i="3"/>
  <c r="G294" i="3"/>
  <c r="I294" i="3"/>
  <c r="C295" i="3"/>
  <c r="H295" i="3"/>
  <c r="J295" i="3"/>
  <c r="E295" i="3"/>
  <c r="F295" i="3"/>
  <c r="G295" i="3"/>
  <c r="I295" i="3"/>
  <c r="C296" i="3"/>
  <c r="H296" i="3"/>
  <c r="J296" i="3"/>
  <c r="E296" i="3"/>
  <c r="F296" i="3"/>
  <c r="G296" i="3"/>
  <c r="I296" i="3"/>
  <c r="C297" i="3"/>
  <c r="H297" i="3"/>
  <c r="J297" i="3"/>
  <c r="E297" i="3"/>
  <c r="F297" i="3"/>
  <c r="G297" i="3"/>
  <c r="I297" i="3"/>
  <c r="C298" i="3"/>
  <c r="H298" i="3"/>
  <c r="J298" i="3"/>
  <c r="E298" i="3"/>
  <c r="F298" i="3"/>
  <c r="G298" i="3"/>
  <c r="I298" i="3"/>
  <c r="C299" i="3"/>
  <c r="H299" i="3"/>
  <c r="J299" i="3"/>
  <c r="E299" i="3"/>
  <c r="F299" i="3"/>
  <c r="G299" i="3"/>
  <c r="I299" i="3"/>
  <c r="C300" i="3"/>
  <c r="H300" i="3"/>
  <c r="J300" i="3"/>
  <c r="E300" i="3"/>
  <c r="F300" i="3"/>
  <c r="G300" i="3"/>
  <c r="I300" i="3"/>
  <c r="C301" i="3"/>
  <c r="H301" i="3"/>
  <c r="J301" i="3"/>
  <c r="E301" i="3"/>
  <c r="F301" i="3"/>
  <c r="G301" i="3"/>
  <c r="I301" i="3"/>
  <c r="C302" i="3"/>
  <c r="H302" i="3"/>
  <c r="J302" i="3"/>
  <c r="E302" i="3"/>
  <c r="F302" i="3"/>
  <c r="G302" i="3"/>
  <c r="I302" i="3"/>
  <c r="C303" i="3"/>
  <c r="H303" i="3"/>
  <c r="J303" i="3"/>
  <c r="E303" i="3"/>
  <c r="F303" i="3"/>
  <c r="G303" i="3"/>
  <c r="I303" i="3"/>
  <c r="C304" i="3"/>
  <c r="H304" i="3"/>
  <c r="J304" i="3"/>
  <c r="E304" i="3"/>
  <c r="F304" i="3"/>
  <c r="G304" i="3"/>
  <c r="I304" i="3"/>
  <c r="C305" i="3"/>
  <c r="H305" i="3"/>
  <c r="J305" i="3"/>
  <c r="E305" i="3"/>
  <c r="F305" i="3"/>
  <c r="G305" i="3"/>
  <c r="I305" i="3"/>
  <c r="C306" i="3"/>
  <c r="H306" i="3"/>
  <c r="J306" i="3"/>
  <c r="E306" i="3"/>
  <c r="I306" i="3"/>
  <c r="C307" i="3"/>
  <c r="F306" i="3"/>
  <c r="G306" i="3"/>
  <c r="H307" i="3"/>
  <c r="J307" i="3"/>
  <c r="E307" i="3"/>
  <c r="F307" i="3"/>
  <c r="G307" i="3"/>
  <c r="I307" i="3"/>
  <c r="C308" i="3"/>
  <c r="H308" i="3"/>
  <c r="J308" i="3"/>
  <c r="E308" i="3"/>
  <c r="F308" i="3"/>
  <c r="G308" i="3"/>
  <c r="I308" i="3"/>
  <c r="C309" i="3"/>
  <c r="H309" i="3"/>
  <c r="J309" i="3"/>
  <c r="E309" i="3"/>
  <c r="F309" i="3"/>
  <c r="G309" i="3"/>
  <c r="I309" i="3"/>
  <c r="C310" i="3"/>
  <c r="H310" i="3"/>
  <c r="J310" i="3"/>
  <c r="E310" i="3"/>
  <c r="I310" i="3"/>
  <c r="C311" i="3"/>
  <c r="F310" i="3"/>
  <c r="G310" i="3"/>
  <c r="H311" i="3"/>
  <c r="J311" i="3"/>
  <c r="E311" i="3"/>
  <c r="I311" i="3"/>
  <c r="C312" i="3"/>
  <c r="F311" i="3"/>
  <c r="G311" i="3"/>
  <c r="H312" i="3"/>
  <c r="J312" i="3"/>
  <c r="E312" i="3"/>
  <c r="F312" i="3"/>
  <c r="G312" i="3"/>
  <c r="I312" i="3"/>
  <c r="C313" i="3"/>
  <c r="H313" i="3"/>
  <c r="J313" i="3"/>
  <c r="E313" i="3"/>
  <c r="I313" i="3"/>
  <c r="C314" i="3"/>
  <c r="F313" i="3"/>
  <c r="G313" i="3"/>
  <c r="H314" i="3"/>
  <c r="J314" i="3"/>
  <c r="E314" i="3"/>
  <c r="I314" i="3"/>
  <c r="C315" i="3"/>
  <c r="F314" i="3"/>
  <c r="G314" i="3"/>
  <c r="H315" i="3"/>
  <c r="J315" i="3"/>
  <c r="E315" i="3"/>
  <c r="I315" i="3"/>
  <c r="C316" i="3"/>
  <c r="F315" i="3"/>
  <c r="G315" i="3"/>
  <c r="H316" i="3"/>
  <c r="J316" i="3"/>
  <c r="E316" i="3"/>
  <c r="F316" i="3"/>
  <c r="G316" i="3"/>
  <c r="I316" i="3"/>
  <c r="C317" i="3"/>
  <c r="H317" i="3"/>
  <c r="J317" i="3"/>
  <c r="E317" i="3"/>
  <c r="I317" i="3"/>
  <c r="C318" i="3"/>
  <c r="F317" i="3"/>
  <c r="G317" i="3"/>
  <c r="H318" i="3"/>
  <c r="J318" i="3"/>
  <c r="E318" i="3"/>
  <c r="I318" i="3"/>
  <c r="C319" i="3"/>
  <c r="F318" i="3"/>
  <c r="G318" i="3"/>
  <c r="H319" i="3"/>
  <c r="J319" i="3"/>
  <c r="E319" i="3"/>
  <c r="I319" i="3"/>
  <c r="C320" i="3"/>
  <c r="F319" i="3"/>
  <c r="G319" i="3"/>
  <c r="H320" i="3"/>
  <c r="J320" i="3"/>
  <c r="E320" i="3"/>
  <c r="I320" i="3"/>
  <c r="C321" i="3"/>
  <c r="F320" i="3"/>
  <c r="G320" i="3"/>
  <c r="H321" i="3"/>
  <c r="J321" i="3"/>
  <c r="E321" i="3"/>
  <c r="F321" i="3"/>
  <c r="G321" i="3"/>
  <c r="I321" i="3"/>
  <c r="C322" i="3"/>
  <c r="H322" i="3"/>
  <c r="J322" i="3"/>
  <c r="E322" i="3"/>
  <c r="I322" i="3"/>
  <c r="C323" i="3"/>
  <c r="F322" i="3"/>
  <c r="G322" i="3"/>
  <c r="H323" i="3"/>
  <c r="J323" i="3"/>
  <c r="E323" i="3"/>
  <c r="I323" i="3"/>
  <c r="C324" i="3"/>
  <c r="F323" i="3"/>
  <c r="G323" i="3"/>
  <c r="H324" i="3"/>
  <c r="J324" i="3"/>
  <c r="E324" i="3"/>
  <c r="I324" i="3"/>
  <c r="C325" i="3"/>
  <c r="F324" i="3"/>
  <c r="G324" i="3"/>
  <c r="H325" i="3"/>
  <c r="J325" i="3"/>
  <c r="E325" i="3"/>
  <c r="F325" i="3"/>
  <c r="G325" i="3"/>
  <c r="I325" i="3"/>
  <c r="C326" i="3"/>
  <c r="H326" i="3"/>
  <c r="J326" i="3"/>
  <c r="E326" i="3"/>
  <c r="I326" i="3"/>
  <c r="C327" i="3"/>
  <c r="F326" i="3"/>
  <c r="G326" i="3"/>
  <c r="H327" i="3"/>
  <c r="J327" i="3"/>
  <c r="E327" i="3"/>
  <c r="I327" i="3"/>
  <c r="C328" i="3"/>
  <c r="F327" i="3"/>
  <c r="G327" i="3"/>
  <c r="H328" i="3"/>
  <c r="J328" i="3"/>
  <c r="E328" i="3"/>
  <c r="I328" i="3"/>
  <c r="C329" i="3"/>
  <c r="F328" i="3"/>
  <c r="G328" i="3"/>
  <c r="H329" i="3"/>
  <c r="J329" i="3"/>
  <c r="E329" i="3"/>
  <c r="F329" i="3"/>
  <c r="G329" i="3"/>
  <c r="I329" i="3"/>
  <c r="C330" i="3"/>
  <c r="H330" i="3"/>
  <c r="J330" i="3"/>
  <c r="E330" i="3"/>
  <c r="I330" i="3"/>
  <c r="C331" i="3"/>
  <c r="F330" i="3"/>
  <c r="G330" i="3"/>
  <c r="H331" i="3"/>
  <c r="J331" i="3"/>
  <c r="E331" i="3"/>
  <c r="I331" i="3"/>
  <c r="C332" i="3"/>
  <c r="F331" i="3"/>
  <c r="G331" i="3"/>
  <c r="H332" i="3"/>
  <c r="J332" i="3"/>
  <c r="E332" i="3"/>
  <c r="I332" i="3"/>
  <c r="C333" i="3"/>
  <c r="F332" i="3"/>
  <c r="G332" i="3"/>
  <c r="H333" i="3"/>
  <c r="J333" i="3"/>
  <c r="E333" i="3"/>
  <c r="F333" i="3"/>
  <c r="G333" i="3"/>
  <c r="I333" i="3"/>
  <c r="C334" i="3"/>
  <c r="H334" i="3"/>
  <c r="J334" i="3"/>
  <c r="E334" i="3"/>
  <c r="I334" i="3"/>
  <c r="C335" i="3"/>
  <c r="F334" i="3"/>
  <c r="G334" i="3"/>
  <c r="H335" i="3"/>
  <c r="J335" i="3"/>
  <c r="E335" i="3"/>
  <c r="I335" i="3"/>
  <c r="C336" i="3"/>
  <c r="F335" i="3"/>
  <c r="G335" i="3"/>
  <c r="H336" i="3"/>
  <c r="J336" i="3"/>
  <c r="E336" i="3"/>
  <c r="F336" i="3"/>
  <c r="G336" i="3"/>
  <c r="I336" i="3"/>
  <c r="C337" i="3"/>
  <c r="H337" i="3"/>
  <c r="J337" i="3"/>
  <c r="E337" i="3"/>
  <c r="F337" i="3"/>
  <c r="G337" i="3"/>
  <c r="I337" i="3"/>
  <c r="C338" i="3"/>
  <c r="H338" i="3"/>
  <c r="J338" i="3"/>
  <c r="E338" i="3"/>
  <c r="I338" i="3"/>
  <c r="C339" i="3"/>
  <c r="F338" i="3"/>
  <c r="G338" i="3"/>
  <c r="H339" i="3"/>
  <c r="J339" i="3"/>
  <c r="E339" i="3"/>
  <c r="I339" i="3"/>
  <c r="C340" i="3"/>
  <c r="F339" i="3"/>
  <c r="G339" i="3"/>
  <c r="H340" i="3"/>
  <c r="J340" i="3"/>
  <c r="E340" i="3"/>
  <c r="I340" i="3"/>
  <c r="C341" i="3"/>
  <c r="F340" i="3"/>
  <c r="G340" i="3"/>
  <c r="H341" i="3"/>
  <c r="J341" i="3"/>
  <c r="E341" i="3"/>
  <c r="F341" i="3"/>
  <c r="G341" i="3"/>
  <c r="I341" i="3"/>
  <c r="C342" i="3"/>
  <c r="H342" i="3"/>
  <c r="J342" i="3"/>
  <c r="E342" i="3"/>
  <c r="I342" i="3"/>
  <c r="C343" i="3"/>
  <c r="F342" i="3"/>
  <c r="G342" i="3"/>
  <c r="H343" i="3"/>
  <c r="J343" i="3"/>
  <c r="E343" i="3"/>
  <c r="I343" i="3"/>
  <c r="C344" i="3"/>
  <c r="F343" i="3"/>
  <c r="G343" i="3"/>
  <c r="H344" i="3"/>
  <c r="J344" i="3"/>
  <c r="E344" i="3"/>
  <c r="I344" i="3"/>
  <c r="C345" i="3"/>
  <c r="F344" i="3"/>
  <c r="G344" i="3"/>
  <c r="H345" i="3"/>
  <c r="J345" i="3"/>
  <c r="E345" i="3"/>
  <c r="F345" i="3"/>
  <c r="G345" i="3"/>
  <c r="I345" i="3"/>
  <c r="C346" i="3"/>
  <c r="H346" i="3"/>
  <c r="J346" i="3"/>
  <c r="E346" i="3"/>
  <c r="I346" i="3"/>
  <c r="C347" i="3"/>
  <c r="F346" i="3"/>
  <c r="G346" i="3"/>
  <c r="H347" i="3"/>
  <c r="J347" i="3"/>
  <c r="E347" i="3"/>
  <c r="I347" i="3"/>
  <c r="C348" i="3"/>
  <c r="F347" i="3"/>
  <c r="G347" i="3"/>
  <c r="H348" i="3"/>
  <c r="J348" i="3"/>
  <c r="E348" i="3"/>
  <c r="F348" i="3"/>
  <c r="G348" i="3"/>
  <c r="I348" i="3"/>
  <c r="C349" i="3"/>
  <c r="H349" i="3"/>
  <c r="J349" i="3"/>
  <c r="E349" i="3"/>
  <c r="F349" i="3"/>
  <c r="G349" i="3"/>
  <c r="I349" i="3"/>
  <c r="C350" i="3"/>
  <c r="H350" i="3"/>
  <c r="J350" i="3"/>
  <c r="E350" i="3"/>
  <c r="I350" i="3"/>
  <c r="C351" i="3"/>
  <c r="F350" i="3"/>
  <c r="G350" i="3"/>
  <c r="H351" i="3"/>
  <c r="J351" i="3"/>
  <c r="E351" i="3"/>
  <c r="I351" i="3"/>
  <c r="C352" i="3"/>
  <c r="F351" i="3"/>
  <c r="G351" i="3"/>
  <c r="H352" i="3"/>
  <c r="J352" i="3"/>
  <c r="E352" i="3"/>
  <c r="F352" i="3"/>
  <c r="G352" i="3"/>
  <c r="I352" i="3"/>
  <c r="C353" i="3"/>
  <c r="H353" i="3"/>
  <c r="J353" i="3"/>
  <c r="E353" i="3"/>
  <c r="F353" i="3"/>
  <c r="G353" i="3"/>
  <c r="I353" i="3"/>
  <c r="C354" i="3"/>
  <c r="H354" i="3"/>
  <c r="J354" i="3"/>
  <c r="E354" i="3"/>
  <c r="I354" i="3"/>
  <c r="C355" i="3"/>
  <c r="F354" i="3"/>
  <c r="G354" i="3"/>
  <c r="H355" i="3"/>
  <c r="J355" i="3"/>
  <c r="E355" i="3"/>
  <c r="I355" i="3"/>
  <c r="C356" i="3"/>
  <c r="F355" i="3"/>
  <c r="G355" i="3"/>
  <c r="H356" i="3"/>
  <c r="J356" i="3"/>
  <c r="E356" i="3"/>
  <c r="I356" i="3"/>
  <c r="C357" i="3"/>
  <c r="F356" i="3"/>
  <c r="G356" i="3"/>
  <c r="H357" i="3"/>
  <c r="J357" i="3"/>
  <c r="E357" i="3"/>
  <c r="F357" i="3"/>
  <c r="G357" i="3"/>
  <c r="I357" i="3"/>
  <c r="C358" i="3"/>
  <c r="H358" i="3"/>
  <c r="J358" i="3"/>
  <c r="E358" i="3"/>
  <c r="I358" i="3"/>
  <c r="C359" i="3"/>
  <c r="F358" i="3"/>
  <c r="G358" i="3"/>
  <c r="H359" i="3"/>
  <c r="J359" i="3"/>
  <c r="E359" i="3"/>
  <c r="I359" i="3"/>
  <c r="C360" i="3"/>
  <c r="F359" i="3"/>
  <c r="G359" i="3"/>
  <c r="H360" i="3"/>
  <c r="J360" i="3"/>
  <c r="E360" i="3"/>
  <c r="I360" i="3"/>
  <c r="C361" i="3"/>
  <c r="F360" i="3"/>
  <c r="G360" i="3"/>
  <c r="H361" i="3"/>
  <c r="J361" i="3"/>
  <c r="E361" i="3"/>
  <c r="F361" i="3"/>
  <c r="G361" i="3"/>
  <c r="I361" i="3"/>
  <c r="C362" i="3"/>
  <c r="H362" i="3"/>
  <c r="J362" i="3"/>
  <c r="E362" i="3"/>
  <c r="I362" i="3"/>
  <c r="C363" i="3"/>
  <c r="F362" i="3"/>
  <c r="G362" i="3"/>
  <c r="H363" i="3"/>
  <c r="J363" i="3"/>
  <c r="E363" i="3"/>
  <c r="I363" i="3"/>
  <c r="C364" i="3"/>
  <c r="F363" i="3"/>
  <c r="G363" i="3"/>
  <c r="H364" i="3"/>
  <c r="J364" i="3"/>
  <c r="E364" i="3"/>
  <c r="I364" i="3"/>
  <c r="C365" i="3"/>
  <c r="F364" i="3"/>
  <c r="G364" i="3"/>
  <c r="H365" i="3"/>
  <c r="J365" i="3"/>
  <c r="E365" i="3"/>
  <c r="F365" i="3"/>
  <c r="G365" i="3"/>
  <c r="I365" i="3"/>
  <c r="C366" i="3"/>
  <c r="H366" i="3"/>
  <c r="J366" i="3"/>
  <c r="E366" i="3"/>
  <c r="I366" i="3"/>
  <c r="C367" i="3"/>
  <c r="F366" i="3"/>
  <c r="G366" i="3"/>
  <c r="H367" i="3"/>
  <c r="J367" i="3"/>
  <c r="E367" i="3"/>
  <c r="I367" i="3"/>
  <c r="C368" i="3"/>
  <c r="F367" i="3"/>
  <c r="G367" i="3"/>
  <c r="H368" i="3"/>
  <c r="J368" i="3"/>
  <c r="E368" i="3"/>
  <c r="F368" i="3"/>
  <c r="G368" i="3"/>
  <c r="I368" i="3"/>
  <c r="C369" i="3"/>
  <c r="H369" i="3"/>
  <c r="J369" i="3"/>
  <c r="E369" i="3"/>
  <c r="F369" i="3"/>
  <c r="G369" i="3"/>
  <c r="I369" i="3"/>
  <c r="C370" i="3"/>
  <c r="H370" i="3"/>
  <c r="J370" i="3"/>
  <c r="E370" i="3"/>
  <c r="I370" i="3"/>
  <c r="C371" i="3"/>
  <c r="F370" i="3"/>
  <c r="G370" i="3"/>
  <c r="H371" i="3"/>
  <c r="J371" i="3"/>
  <c r="E371" i="3"/>
  <c r="I371" i="3"/>
  <c r="C372" i="3"/>
  <c r="F371" i="3"/>
  <c r="G371" i="3"/>
  <c r="H372" i="3"/>
  <c r="J372" i="3"/>
  <c r="E372" i="3"/>
  <c r="I372" i="3"/>
  <c r="C373" i="3"/>
  <c r="F372" i="3"/>
  <c r="G372" i="3"/>
  <c r="H373" i="3"/>
  <c r="J373" i="3"/>
  <c r="E373" i="3"/>
  <c r="I373" i="3"/>
  <c r="C374" i="3"/>
  <c r="F373" i="3"/>
  <c r="G373" i="3"/>
  <c r="H374" i="3"/>
  <c r="J374" i="3"/>
  <c r="E374" i="3"/>
  <c r="I374" i="3"/>
  <c r="C375" i="3"/>
  <c r="F374" i="3"/>
  <c r="G374" i="3"/>
  <c r="H375" i="3"/>
  <c r="J375" i="3"/>
  <c r="E375" i="3"/>
  <c r="I375" i="3"/>
  <c r="C376" i="3"/>
  <c r="F375" i="3"/>
  <c r="G375" i="3"/>
  <c r="H376" i="3"/>
  <c r="J376" i="3"/>
  <c r="E376" i="3"/>
  <c r="I376" i="3"/>
  <c r="C377" i="3"/>
  <c r="F376" i="3"/>
  <c r="G376" i="3"/>
  <c r="H377" i="3"/>
  <c r="J377" i="3"/>
  <c r="E377" i="3"/>
  <c r="I377" i="3"/>
  <c r="F377" i="3"/>
  <c r="G377" i="3"/>
  <c r="K49" i="2"/>
  <c r="E40" i="1"/>
  <c r="C46" i="1"/>
  <c r="C48" i="1"/>
  <c r="E48" i="1"/>
  <c r="I48" i="1"/>
  <c r="C40" i="1"/>
  <c r="E46" i="1"/>
  <c r="K104" i="2"/>
  <c r="I104" i="2"/>
  <c r="K107" i="2"/>
  <c r="I11" i="1"/>
  <c r="J29" i="1"/>
  <c r="I34" i="1"/>
  <c r="I42" i="1"/>
</calcChain>
</file>

<file path=xl/sharedStrings.xml><?xml version="1.0" encoding="utf-8"?>
<sst xmlns="http://schemas.openxmlformats.org/spreadsheetml/2006/main" count="367" uniqueCount="278">
  <si>
    <t>PROJECT FACTS:</t>
  </si>
  <si>
    <t>CONSTRUCTION + 3 yr MINI-PERM LOAN</t>
  </si>
  <si>
    <t>Site Area</t>
  </si>
  <si>
    <t>Interest Rate</t>
  </si>
  <si>
    <t>Number of stories</t>
  </si>
  <si>
    <t>Term (Months)</t>
  </si>
  <si>
    <t>Office</t>
  </si>
  <si>
    <t>Creative Office</t>
  </si>
  <si>
    <t>Construction/Mini-Perm Loan</t>
  </si>
  <si>
    <t>Retail</t>
  </si>
  <si>
    <t>Project Value</t>
  </si>
  <si>
    <t>Common Area</t>
  </si>
  <si>
    <t>Loan-to-Value</t>
  </si>
  <si>
    <t>Loan-to-Cost</t>
  </si>
  <si>
    <t>Parking</t>
  </si>
  <si>
    <t>surface</t>
  </si>
  <si>
    <t>Combined LTV</t>
  </si>
  <si>
    <t>Drawdown</t>
  </si>
  <si>
    <t>Number of Office Tenants</t>
  </si>
  <si>
    <t>Personal Guarantee Cost</t>
  </si>
  <si>
    <t>Number of Retail Units</t>
  </si>
  <si>
    <t>Total Tenants</t>
  </si>
  <si>
    <t>GROSS BUILDING AREA</t>
  </si>
  <si>
    <t>per plans</t>
  </si>
  <si>
    <t>Annual Construction Loan Debt Service</t>
  </si>
  <si>
    <t>TOTAL NET LEASABLE</t>
  </si>
  <si>
    <t>Overall Efficiency</t>
  </si>
  <si>
    <t xml:space="preserve">PERMANENT FINANCING ASSUMPTIONS </t>
  </si>
  <si>
    <t>Office Rent/sq.ft.</t>
  </si>
  <si>
    <t>NNN</t>
  </si>
  <si>
    <t>DCR</t>
  </si>
  <si>
    <t>LTV</t>
  </si>
  <si>
    <t>Retail Rent/sq.ft.</t>
  </si>
  <si>
    <t>Loan Amount</t>
  </si>
  <si>
    <t>CAM Rent/sq.ft.</t>
  </si>
  <si>
    <t>Term (Years)</t>
  </si>
  <si>
    <t>Parking Spaces</t>
  </si>
  <si>
    <t>plus 1 HC space</t>
  </si>
  <si>
    <t>Debt-Coverage Ratio</t>
  </si>
  <si>
    <t>Parking Rent - average</t>
  </si>
  <si>
    <t>per month</t>
  </si>
  <si>
    <t>Parking Ratio</t>
  </si>
  <si>
    <t>1 per</t>
  </si>
  <si>
    <t>sq.ft. of office</t>
  </si>
  <si>
    <t>Misc Income</t>
  </si>
  <si>
    <t>Value per Net Square Foot</t>
  </si>
  <si>
    <t>Stabilized NOI</t>
  </si>
  <si>
    <t>Land Price</t>
  </si>
  <si>
    <t>CAP Rate</t>
  </si>
  <si>
    <t>NOI to True Cost</t>
  </si>
  <si>
    <t>Supportable Mortgage</t>
  </si>
  <si>
    <t>PROJECT COSTS</t>
  </si>
  <si>
    <t>Supportable Debt Service</t>
  </si>
  <si>
    <t xml:space="preserve">Existing Value </t>
  </si>
  <si>
    <t xml:space="preserve">sq.ft. </t>
  </si>
  <si>
    <t>Hard Costs</t>
  </si>
  <si>
    <t>CASH FLOW CALCULATION (YR 1)</t>
  </si>
  <si>
    <t>Parking Costs</t>
  </si>
  <si>
    <t>sq.ft.</t>
  </si>
  <si>
    <t>TOTAL DEVELOPMENT COSTS</t>
  </si>
  <si>
    <t>TI Allowance</t>
  </si>
  <si>
    <t>(-) Metro Grant</t>
  </si>
  <si>
    <t>Artwork</t>
  </si>
  <si>
    <t>included</t>
  </si>
  <si>
    <t>(-) Development Fee Equity</t>
  </si>
  <si>
    <t>Hard Cost Contingency/T I Budget</t>
  </si>
  <si>
    <t>of hd costs</t>
  </si>
  <si>
    <t>Pre-Dev Consultants</t>
  </si>
  <si>
    <t>(-) Permanent Financing</t>
  </si>
  <si>
    <t>Architecture &amp; Engineering</t>
  </si>
  <si>
    <t>(-) Architecture Fee</t>
  </si>
  <si>
    <t>Development Fees</t>
  </si>
  <si>
    <t>of value</t>
  </si>
  <si>
    <t>Permit Fees</t>
  </si>
  <si>
    <t>Legal &amp; Accounting</t>
  </si>
  <si>
    <t>GAP</t>
  </si>
  <si>
    <t xml:space="preserve">Construction Financing &amp; Carrying </t>
  </si>
  <si>
    <t>EQUITY REQUIRED</t>
  </si>
  <si>
    <t>Permanent Financing</t>
  </si>
  <si>
    <t>NET OPERATING INCOME</t>
  </si>
  <si>
    <t>Leasing</t>
  </si>
  <si>
    <t>(-) MORTGAGE</t>
  </si>
  <si>
    <t>Total Soft Costs</t>
  </si>
  <si>
    <t xml:space="preserve">sq. ft. </t>
  </si>
  <si>
    <t>NET CASH FLOW</t>
  </si>
  <si>
    <t>TOTAL PROJECT COST</t>
  </si>
  <si>
    <t>cash-to-cost ratio</t>
  </si>
  <si>
    <t>OWNERSHIP/RETURNS</t>
  </si>
  <si>
    <t>OPERATING PRO FORMA (PER YEAR)</t>
  </si>
  <si>
    <t>YR 1</t>
  </si>
  <si>
    <t>YR 2</t>
  </si>
  <si>
    <t>YR 3</t>
  </si>
  <si>
    <t>YR 4</t>
  </si>
  <si>
    <t>YR 5</t>
  </si>
  <si>
    <t>YR 6</t>
  </si>
  <si>
    <t>YR 7</t>
  </si>
  <si>
    <t>YR 8</t>
  </si>
  <si>
    <t>YR 9</t>
  </si>
  <si>
    <t>Gross Office Income</t>
  </si>
  <si>
    <t>Gross Retail Income</t>
  </si>
  <si>
    <t>Gross CAM Income</t>
  </si>
  <si>
    <t>Gross Parking Income</t>
  </si>
  <si>
    <t>Gross Income</t>
  </si>
  <si>
    <t>(-) Vacancy – Commercial</t>
  </si>
  <si>
    <t>Other</t>
  </si>
  <si>
    <t>(-) Fire Insurance – Commercial</t>
  </si>
  <si>
    <t>(-) Taxes</t>
  </si>
  <si>
    <t>(-) Water/Sewer/Trash/Utilities</t>
  </si>
  <si>
    <t>YR 0</t>
  </si>
  <si>
    <t>(-) Repairs &amp; Maintenance</t>
  </si>
  <si>
    <t>Revenue (3% escalator)</t>
  </si>
  <si>
    <t>(-) Replacement Reserves</t>
  </si>
  <si>
    <t>Expenses (3% escalator)</t>
  </si>
  <si>
    <t>(-) Misc. Expenses</t>
  </si>
  <si>
    <t>(-) Commercial Management</t>
  </si>
  <si>
    <t>NOI</t>
  </si>
  <si>
    <t>Total Expenses</t>
  </si>
  <si>
    <t>Debt Service (+ Reserve)</t>
  </si>
  <si>
    <t>...per unit</t>
  </si>
  <si>
    <t>…per sq. ft.</t>
  </si>
  <si>
    <t>RETURN ON CASH (INVESTOR)</t>
  </si>
  <si>
    <t>Combined DCR</t>
  </si>
  <si>
    <t>Non-Replacement Reserve</t>
  </si>
  <si>
    <t>PROJECT APPRECIATION at 3%</t>
  </si>
  <si>
    <t>NET REFINANCE/SALES PROCEEDS</t>
  </si>
  <si>
    <t>LOAN BALANCE</t>
  </si>
  <si>
    <t>TOTAL EQUITY</t>
  </si>
  <si>
    <t>10 yr IRR</t>
  </si>
  <si>
    <t>NOTE  -  THIS PROFORMA PREPARED BY MANAGER DOES NOT TAKE INTO ACCOUNT OR MAKE ANY PROVISION FOR ANY CHANGE IN LOCAL OR GENERAL ECONOMIC CONDITIONS, OR INCREASES IN REDEVELOPMENT COSTS OR THE AFFECTS OF ANY DELAYS IN COMMENCING</t>
  </si>
  <si>
    <t> THE REDEVELOPMENT PROCESS OR DECREASES IN RENTAL RATES.  BY EXECUTING THIS AGREEMENT, EACH MEMBER ACKNOWLEDGES THAT MANAGER IS NOT MAKING ANY WARRANTIES OR GUARANTIES OR ANY REPRESENTATION WITH RESPECT TO ANY OF THE PROJECTIONS</t>
  </si>
  <si>
    <t>SET FORTH IN THIS PROFORMA.  PROFORMAS ARE SUBJECT TO UNCERTAINTY AND VARIATION AND THEREFORE ARE NOT REPRESENTED AS RESULTS THAT WILL ACTUALLY BE ACHIEVED.</t>
  </si>
  <si>
    <t>THIS PROFORMA IS NOT INTENDED AS INDUCEMENT FOR ANY MEMBER TO ENTER INTO THIS AGREEMENT OR BECOME A MEMBER OF THE COMPANY.</t>
  </si>
  <si>
    <t>Land Value:</t>
  </si>
  <si>
    <t>SQ. FT.</t>
  </si>
  <si>
    <t>Construction Costs:</t>
  </si>
  <si>
    <t>Construction Costs (new Construction)</t>
  </si>
  <si>
    <t>sq. ft.</t>
  </si>
  <si>
    <t>Construction Costs (parking cost)</t>
  </si>
  <si>
    <t>Included</t>
  </si>
  <si>
    <t>Harder Steel/Parking Lift Costs</t>
  </si>
  <si>
    <t>Common Site Costs</t>
  </si>
  <si>
    <t>Street Improvements</t>
  </si>
  <si>
    <t>Furniture Fixtures &amp; Equipment</t>
  </si>
  <si>
    <t>Not Incl.</t>
  </si>
  <si>
    <t>Tenant Improvements</t>
  </si>
  <si>
    <t>Contingency/Design &amp; Inflation</t>
  </si>
  <si>
    <t>Hard Cost Total</t>
  </si>
  <si>
    <t>Contingency/Tenant Improvements</t>
  </si>
  <si>
    <t>Subtotal</t>
  </si>
  <si>
    <t>Pre-Development Consultants:</t>
  </si>
  <si>
    <t>Architecture/Engineering Studies</t>
  </si>
  <si>
    <t>of hard costs</t>
  </si>
  <si>
    <t>Project Management</t>
  </si>
  <si>
    <t>Site Survey</t>
  </si>
  <si>
    <t>Appraisal</t>
  </si>
  <si>
    <t>Geotechnical Report</t>
  </si>
  <si>
    <t>Environmental Studies</t>
  </si>
  <si>
    <t>Traffic Study</t>
  </si>
  <si>
    <t>Market Study</t>
  </si>
  <si>
    <t>Total</t>
  </si>
  <si>
    <t>Architecture &amp; Engineering Fees:</t>
  </si>
  <si>
    <t>Architecture/Engineering Services*</t>
  </si>
  <si>
    <t>Construction Phase Services</t>
  </si>
  <si>
    <t>Incl.</t>
  </si>
  <si>
    <t>Geotechnical Consultant</t>
  </si>
  <si>
    <t>LEED Consultants</t>
  </si>
  <si>
    <t>Construction Testing &amp; Inspection</t>
  </si>
  <si>
    <t>Consultant Reimbursables</t>
  </si>
  <si>
    <t>*Includes:  Architecture, structural, civil, mechanical/electrical engineering, landscape architecture, cost estimating, graphics and acoustical consulting</t>
  </si>
  <si>
    <t>Development Fees &amp; Administration:</t>
  </si>
  <si>
    <t>Development Design Fee</t>
  </si>
  <si>
    <t>Development Fee</t>
  </si>
  <si>
    <t>Builder's Risk Insurance</t>
  </si>
  <si>
    <t>Title Insurance, Closing and Recording</t>
  </si>
  <si>
    <t>Miscellaneous Costs</t>
  </si>
  <si>
    <t>N/A</t>
  </si>
  <si>
    <t>Permit Fees and System Charges:</t>
  </si>
  <si>
    <t>Building Permits</t>
  </si>
  <si>
    <t>of construction costs</t>
  </si>
  <si>
    <t>Public Improvement Permits</t>
  </si>
  <si>
    <t>Land Use Approvals</t>
  </si>
  <si>
    <t>Water Connections</t>
  </si>
  <si>
    <t>existing</t>
  </si>
  <si>
    <t>units</t>
  </si>
  <si>
    <t>Per Meter</t>
  </si>
  <si>
    <t>Storm Water</t>
  </si>
  <si>
    <t>per single family unit</t>
  </si>
  <si>
    <t>Per commercial unit</t>
  </si>
  <si>
    <t xml:space="preserve">new unit </t>
  </si>
  <si>
    <t>Systems Development Fee-Water</t>
  </si>
  <si>
    <t>Systems Development Fee-Sewer</t>
  </si>
  <si>
    <r>
      <rPr>
        <u/>
        <sz val="10"/>
        <color indexed="13"/>
        <rFont val="Arial"/>
        <family val="2"/>
      </rPr>
      <t>http://www.portlandtransportation.org/SystemDevelopmentCharge/Rates.htm</t>
    </r>
  </si>
  <si>
    <t>PBOT SDC Fees</t>
  </si>
  <si>
    <t>per single sq.ft.</t>
  </si>
  <si>
    <t>varies</t>
  </si>
  <si>
    <r>
      <rPr>
        <u/>
        <sz val="10"/>
        <color indexed="13"/>
        <rFont val="Arial"/>
        <family val="2"/>
      </rPr>
      <t>http://www.portlandparks.org/Planning/SystemDevCharge.htm</t>
    </r>
  </si>
  <si>
    <t>Parks SDC - Residential Only</t>
  </si>
  <si>
    <t>per unit</t>
  </si>
  <si>
    <t>Street Trees</t>
  </si>
  <si>
    <t xml:space="preserve">Pay into fund </t>
  </si>
  <si>
    <t>Contingency for Fee Increases</t>
  </si>
  <si>
    <t>Legal &amp; Accounting Fees:</t>
  </si>
  <si>
    <t>Development Agreements</t>
  </si>
  <si>
    <t>Condominium Documents</t>
  </si>
  <si>
    <t>Leases</t>
  </si>
  <si>
    <t>Misc. Legal</t>
  </si>
  <si>
    <t>1031 Reverse Exchange</t>
  </si>
  <si>
    <t>Outside of this transaction</t>
  </si>
  <si>
    <t>Construction Financing &amp; Carrying Costs:</t>
  </si>
  <si>
    <t>Loan Fee</t>
  </si>
  <si>
    <t>of construction loan</t>
  </si>
  <si>
    <t>Construction Period Interest</t>
  </si>
  <si>
    <t>Lender's Monitoring Costs</t>
  </si>
  <si>
    <t>http://www.portlandmaps.com/</t>
  </si>
  <si>
    <t>Development Period Property Taxes</t>
  </si>
  <si>
    <t>Title Fee</t>
  </si>
  <si>
    <t>Permanent Financing Fees &amp; Costs:</t>
  </si>
  <si>
    <t>Loan Fees</t>
  </si>
  <si>
    <t>Lender's Costs</t>
  </si>
  <si>
    <t>Operating Reserve</t>
  </si>
  <si>
    <t>Leasing/Promotional Costs:</t>
  </si>
  <si>
    <t>Leasing Brochures</t>
  </si>
  <si>
    <t>For Sale Product Commissions</t>
  </si>
  <si>
    <t>Advertising &amp; Marketing</t>
  </si>
  <si>
    <t>Openings/Events</t>
  </si>
  <si>
    <t>Pre-Leasing Costs</t>
  </si>
  <si>
    <t>Leasing Salaries/Commissions</t>
  </si>
  <si>
    <t>Model Apts/Leasing Office Expenses</t>
  </si>
  <si>
    <t>Soft Cost Total</t>
  </si>
  <si>
    <t>Loan Amortization Schedule</t>
  </si>
  <si>
    <t>Enter values</t>
  </si>
  <si>
    <t>Loan summary</t>
  </si>
  <si>
    <t>Loan amount</t>
  </si>
  <si>
    <t>Scheduled payment</t>
  </si>
  <si>
    <t>Annual interest rate</t>
  </si>
  <si>
    <t>Scheduled number of payments</t>
  </si>
  <si>
    <t>Loan period in years</t>
  </si>
  <si>
    <t>Actual number of payments</t>
  </si>
  <si>
    <t>Number of payments per year</t>
  </si>
  <si>
    <t>Total early payments</t>
  </si>
  <si>
    <t>Start date of loan</t>
  </si>
  <si>
    <t>Total interest</t>
  </si>
  <si>
    <t>Optional extra payments</t>
  </si>
  <si>
    <t>Lender name:</t>
  </si>
  <si>
    <t>PmtNo.</t>
  </si>
  <si>
    <t>Payment Date</t>
  </si>
  <si>
    <t>Beginning Balance</t>
  </si>
  <si>
    <t>Scheduled Payment</t>
  </si>
  <si>
    <t>Extra Payment</t>
  </si>
  <si>
    <t>Total Payment</t>
  </si>
  <si>
    <t>Principal</t>
  </si>
  <si>
    <t>Interest</t>
  </si>
  <si>
    <t>Ending Balance</t>
  </si>
  <si>
    <t>Cumulative Interest</t>
  </si>
  <si>
    <t>Caretaker's Unit</t>
  </si>
  <si>
    <t>Caretaker's Unit Rent/sq.ft.</t>
  </si>
  <si>
    <t>Project Management/Construction Administration/Equity Hunt Fee</t>
  </si>
  <si>
    <t>Note:  This Fee to tie 100% to the outside Equity found for the project.</t>
  </si>
  <si>
    <t>(-) Project Man./Investor Hunt Fee Equity</t>
  </si>
  <si>
    <t>(-) Sweat Equity Tax (KC+GC+DD)</t>
  </si>
  <si>
    <t>of cost</t>
  </si>
  <si>
    <t>(-) Leasing Fee</t>
  </si>
  <si>
    <t>per month for 21 months, 50/50 split between Davies and GD staff</t>
  </si>
  <si>
    <t xml:space="preserve">divided 50/50 = </t>
  </si>
  <si>
    <t xml:space="preserve">plus </t>
  </si>
  <si>
    <t>equals all of the Owner's rep + half of the Tenant rep, roughly.</t>
  </si>
  <si>
    <t>Note:  Davies in charge of this amount - if needed to augment the PM split fee above.</t>
  </si>
  <si>
    <t>YR 10</t>
  </si>
  <si>
    <t>Share of Equity hunt provided by Davies</t>
  </si>
  <si>
    <t>Investor Equity</t>
  </si>
  <si>
    <t>Tree Farm</t>
  </si>
  <si>
    <t>Artwork (Trees)</t>
  </si>
  <si>
    <t>Note:  Must be a minimum of 20%.</t>
  </si>
  <si>
    <t>(-) Lighting/Trees</t>
  </si>
  <si>
    <t>Investor IRR</t>
  </si>
  <si>
    <t>approx.</t>
  </si>
  <si>
    <t xml:space="preserve">GUERRILLA </t>
  </si>
  <si>
    <t>GDAW</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</si>
</sst>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mmmm&quot; &quot;d&quot;, &quot;yyyy"/>
    <numFmt numFmtId="165" formatCode="#,##0&quot; &quot;;\(#,##0\)"/>
    <numFmt numFmtId="166" formatCode="&quot;$&quot;#,##0"/>
    <numFmt numFmtId="167" formatCode="&quot;$&quot;#,##0;[Red]&quot;$&quot;#,##0"/>
    <numFmt numFmtId="168" formatCode="0.0%"/>
    <numFmt numFmtId="169" formatCode="#,##0.00&quot; &quot;;\(#,##0.00\)"/>
    <numFmt numFmtId="170" formatCode="#,##0.0"/>
    <numFmt numFmtId="171" formatCode="0.00_);[Red]\(0.00\)"/>
    <numFmt numFmtId="172" formatCode="0.000%"/>
    <numFmt numFmtId="173" formatCode="&quot; &quot;&quot;$&quot;* #,##0.00&quot; &quot;;&quot; &quot;&quot;$&quot;* \(#,##0.00\);&quot; &quot;&quot;$&quot;* &quot;-&quot;??&quot; &quot;"/>
    <numFmt numFmtId="174" formatCode="&quot; &quot;* #,##0&quot; &quot;;&quot; &quot;* \(#,##0\);&quot; &quot;* &quot;-&quot;??&quot; &quot;"/>
    <numFmt numFmtId="175" formatCode="&quot; &quot;&quot;$&quot;* #,##0&quot; &quot;;&quot; &quot;&quot;$&quot;* \(#,##0\);&quot; &quot;&quot;$&quot;* &quot;-&quot;??&quot; &quot;"/>
    <numFmt numFmtId="176" formatCode="&quot;$&quot;#,##0&quot; &quot;;&quot;($&quot;#,##0\)"/>
    <numFmt numFmtId="177" formatCode="&quot; &quot;&quot;$&quot;* #,##0&quot; &quot;;&quot; &quot;&quot;$&quot;* \(#,##0\);&quot; &quot;&quot;$&quot;* &quot;- &quot;"/>
    <numFmt numFmtId="178" formatCode="0.00%_);[Red]\(0.00%\)"/>
    <numFmt numFmtId="179" formatCode="&quot;$&quot;#,##0.00;[Red]&quot;$&quot;#,##0.00"/>
    <numFmt numFmtId="180" formatCode="#,##0.00000_);[Red]\(#,##0.00000\)"/>
    <numFmt numFmtId="181" formatCode="#,##0.00;[Red]#,##0.00"/>
    <numFmt numFmtId="182" formatCode="0.00&quot; &quot;;\(0.00\)"/>
    <numFmt numFmtId="183" formatCode="&quot; &quot;&quot;$&quot;* #,##0.0000&quot; &quot;;&quot; &quot;&quot;$&quot;* \(#,##0.0000\);&quot; &quot;&quot;$&quot;* &quot;-&quot;??&quot; &quot;"/>
    <numFmt numFmtId="184" formatCode="0.00?%&quot; &quot;"/>
    <numFmt numFmtId="185" formatCode="0&quot; &quot;"/>
    <numFmt numFmtId="186" formatCode="&quot; &quot;* #,##0.00&quot; &quot;;&quot; &quot;* \(#,##0.00\);&quot; &quot;* &quot;-&quot;??&quot; &quot;"/>
  </numFmts>
  <fonts count="22" x14ac:knownFonts="1">
    <font>
      <sz val="12"/>
      <color indexed="8"/>
      <name val="Verdana"/>
    </font>
    <font>
      <sz val="10"/>
      <color indexed="8"/>
      <name val="Arial"/>
      <family val="2"/>
    </font>
    <font>
      <sz val="14"/>
      <color indexed="9"/>
      <name val="Arial Bold"/>
    </font>
    <font>
      <sz val="14"/>
      <color indexed="8"/>
      <name val="Arial Bold"/>
    </font>
    <font>
      <sz val="10"/>
      <color indexed="8"/>
      <name val="Arial Bold"/>
    </font>
    <font>
      <sz val="12"/>
      <color indexed="8"/>
      <name val="Arial Bold"/>
    </font>
    <font>
      <sz val="10"/>
      <color indexed="12"/>
      <name val="Arial Bold"/>
    </font>
    <font>
      <sz val="10"/>
      <color indexed="13"/>
      <name val="Arial Bold"/>
    </font>
    <font>
      <sz val="10"/>
      <color indexed="9"/>
      <name val="Arial"/>
      <family val="2"/>
    </font>
    <font>
      <u/>
      <sz val="10"/>
      <color indexed="8"/>
      <name val="Arial Bold"/>
    </font>
    <font>
      <sz val="10"/>
      <color indexed="15"/>
      <name val="Arial Bold"/>
    </font>
    <font>
      <sz val="11"/>
      <color indexed="8"/>
      <name val="Arial Bold"/>
    </font>
    <font>
      <sz val="8"/>
      <color indexed="8"/>
      <name val="Arial"/>
      <family val="2"/>
    </font>
    <font>
      <u/>
      <sz val="10"/>
      <color indexed="13"/>
      <name val="Arial"/>
      <family val="2"/>
    </font>
    <font>
      <sz val="10"/>
      <color indexed="13"/>
      <name val="Arial"/>
      <family val="2"/>
    </font>
    <font>
      <b/>
      <sz val="18"/>
      <color indexed="8"/>
      <name val="Century Gothic"/>
      <family val="2"/>
    </font>
    <font>
      <sz val="10"/>
      <color indexed="8"/>
      <name val="Century Gothic"/>
      <family val="2"/>
    </font>
    <font>
      <b/>
      <sz val="10"/>
      <color indexed="8"/>
      <name val="Century Gothic"/>
      <family val="2"/>
    </font>
    <font>
      <sz val="9"/>
      <color indexed="8"/>
      <name val="Century Gothic"/>
      <family val="2"/>
    </font>
    <font>
      <sz val="10"/>
      <color indexed="18"/>
      <name val="Arial"/>
      <family val="2"/>
    </font>
    <font>
      <sz val="12"/>
      <color indexed="8"/>
      <name val="Verdana"/>
      <family val="2"/>
    </font>
    <font>
      <b/>
      <sz val="10"/>
      <color indexed="8"/>
      <name val="Arial"/>
      <family val="2"/>
    </font>
  </fonts>
  <fills count="7">
    <fill>
      <patternFill patternType="none"/>
    </fill>
    <fill>
      <patternFill patternType="gray125"/>
    </fill>
    <fill>
      <patternFill patternType="solid">
        <fgColor indexed="11"/>
        <bgColor auto="1"/>
      </patternFill>
    </fill>
    <fill>
      <patternFill patternType="solid">
        <fgColor indexed="14"/>
        <bgColor auto="1"/>
      </patternFill>
    </fill>
    <fill>
      <patternFill patternType="solid">
        <fgColor indexed="16"/>
        <bgColor auto="1"/>
      </patternFill>
    </fill>
    <fill>
      <patternFill patternType="solid">
        <fgColor rgb="FFFFC000"/>
        <bgColor indexed="64"/>
      </patternFill>
    </fill>
    <fill>
      <patternFill patternType="solid">
        <fgColor rgb="FFFFFF00"/>
        <bgColor indexed="64"/>
      </patternFill>
    </fill>
  </fills>
  <borders count="128">
    <border>
      <left/>
      <right/>
      <top/>
      <bottom/>
      <diagonal/>
    </border>
    <border>
      <left style="medium">
        <color indexed="8"/>
      </left>
      <right style="thin">
        <color indexed="10"/>
      </right>
      <top style="medium">
        <color indexed="8"/>
      </top>
      <bottom style="thin">
        <color indexed="10"/>
      </bottom>
      <diagonal/>
    </border>
    <border>
      <left style="thin">
        <color indexed="10"/>
      </left>
      <right style="thin">
        <color indexed="10"/>
      </right>
      <top style="medium">
        <color indexed="8"/>
      </top>
      <bottom style="thin">
        <color indexed="10"/>
      </bottom>
      <diagonal/>
    </border>
    <border>
      <left style="thin">
        <color indexed="10"/>
      </left>
      <right style="medium">
        <color indexed="8"/>
      </right>
      <top style="medium">
        <color indexed="8"/>
      </top>
      <bottom style="thin">
        <color indexed="10"/>
      </bottom>
      <diagonal/>
    </border>
    <border>
      <left style="medium">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medium">
        <color indexed="8"/>
      </right>
      <top style="thin">
        <color indexed="10"/>
      </top>
      <bottom style="thin">
        <color indexed="10"/>
      </bottom>
      <diagonal/>
    </border>
    <border>
      <left style="medium">
        <color indexed="8"/>
      </left>
      <right style="thin">
        <color indexed="10"/>
      </right>
      <top style="thin">
        <color indexed="10"/>
      </top>
      <bottom style="medium">
        <color indexed="8"/>
      </bottom>
      <diagonal/>
    </border>
    <border>
      <left style="thin">
        <color indexed="10"/>
      </left>
      <right style="thin">
        <color indexed="10"/>
      </right>
      <top style="thin">
        <color indexed="10"/>
      </top>
      <bottom style="medium">
        <color indexed="8"/>
      </bottom>
      <diagonal/>
    </border>
    <border>
      <left style="thin">
        <color indexed="10"/>
      </left>
      <right style="medium">
        <color indexed="8"/>
      </right>
      <top style="thin">
        <color indexed="10"/>
      </top>
      <bottom style="medium">
        <color indexed="8"/>
      </bottom>
      <diagonal/>
    </border>
    <border>
      <left style="thin">
        <color indexed="10"/>
      </left>
      <right style="thin">
        <color indexed="10"/>
      </right>
      <top style="medium">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10"/>
      </top>
      <bottom style="thin">
        <color indexed="10"/>
      </bottom>
      <diagonal/>
    </border>
    <border>
      <left style="thin">
        <color indexed="8"/>
      </left>
      <right style="thin">
        <color indexed="10"/>
      </right>
      <top style="thin">
        <color indexed="10"/>
      </top>
      <bottom style="thin">
        <color indexed="10"/>
      </bottom>
      <diagonal/>
    </border>
    <border>
      <left style="thin">
        <color indexed="8"/>
      </left>
      <right style="thin">
        <color indexed="10"/>
      </right>
      <top style="thin">
        <color indexed="8"/>
      </top>
      <bottom style="thin">
        <color indexed="10"/>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8"/>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8"/>
      </right>
      <top style="thin">
        <color indexed="10"/>
      </top>
      <bottom style="thin">
        <color indexed="8"/>
      </bottom>
      <diagonal/>
    </border>
    <border>
      <left style="thin">
        <color indexed="10"/>
      </left>
      <right style="thin">
        <color indexed="8"/>
      </right>
      <top style="thin">
        <color indexed="10"/>
      </top>
      <bottom style="thin">
        <color indexed="10"/>
      </bottom>
      <diagonal/>
    </border>
    <border>
      <left style="thin">
        <color indexed="8"/>
      </left>
      <right style="thin">
        <color indexed="10"/>
      </right>
      <top style="thin">
        <color indexed="10"/>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10"/>
      </left>
      <right/>
      <top style="thin">
        <color indexed="8"/>
      </top>
      <bottom style="thin">
        <color indexed="10"/>
      </bottom>
      <diagonal/>
    </border>
    <border>
      <left style="thin">
        <color indexed="10"/>
      </left>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10"/>
      </left>
      <right style="thin">
        <color indexed="10"/>
      </right>
      <top/>
      <bottom style="thin">
        <color indexed="10"/>
      </bottom>
      <diagonal/>
    </border>
    <border>
      <left style="thin">
        <color indexed="10"/>
      </left>
      <right/>
      <top/>
      <bottom style="thin">
        <color indexed="10"/>
      </bottom>
      <diagonal/>
    </border>
    <border>
      <left style="thin">
        <color indexed="10"/>
      </left>
      <right style="thin">
        <color indexed="8"/>
      </right>
      <top/>
      <bottom style="thin">
        <color indexed="10"/>
      </bottom>
      <diagonal/>
    </border>
    <border>
      <left style="thin">
        <color indexed="8"/>
      </left>
      <right style="thin">
        <color indexed="10"/>
      </right>
      <top style="thin">
        <color indexed="10"/>
      </top>
      <bottom style="medium">
        <color indexed="8"/>
      </bottom>
      <diagonal/>
    </border>
    <border>
      <left style="thin">
        <color indexed="10"/>
      </left>
      <right style="thin">
        <color indexed="8"/>
      </right>
      <top style="thin">
        <color indexed="10"/>
      </top>
      <bottom style="medium">
        <color indexed="8"/>
      </bottom>
      <diagonal/>
    </border>
    <border>
      <left style="medium">
        <color indexed="8"/>
      </left>
      <right style="thin">
        <color indexed="10"/>
      </right>
      <top style="medium">
        <color indexed="8"/>
      </top>
      <bottom style="medium">
        <color indexed="8"/>
      </bottom>
      <diagonal/>
    </border>
    <border>
      <left style="thin">
        <color indexed="10"/>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thin">
        <color indexed="10"/>
      </top>
      <bottom style="thin">
        <color indexed="10"/>
      </bottom>
      <diagonal/>
    </border>
    <border>
      <left style="thin">
        <color indexed="8"/>
      </left>
      <right style="thin">
        <color indexed="10"/>
      </right>
      <top style="medium">
        <color indexed="8"/>
      </top>
      <bottom style="medium">
        <color indexed="8"/>
      </bottom>
      <diagonal/>
    </border>
    <border>
      <left style="thin">
        <color indexed="10"/>
      </left>
      <right style="thin">
        <color indexed="10"/>
      </right>
      <top style="medium">
        <color indexed="8"/>
      </top>
      <bottom style="medium">
        <color indexed="8"/>
      </bottom>
      <diagonal/>
    </border>
    <border>
      <left style="thin">
        <color indexed="10"/>
      </left>
      <right style="thin">
        <color indexed="8"/>
      </right>
      <top style="medium">
        <color indexed="8"/>
      </top>
      <bottom style="medium">
        <color indexed="8"/>
      </bottom>
      <diagonal/>
    </border>
    <border>
      <left style="thin">
        <color indexed="8"/>
      </left>
      <right style="medium">
        <color indexed="8"/>
      </right>
      <top style="thin">
        <color indexed="10"/>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style="thin">
        <color indexed="8"/>
      </right>
      <top style="medium">
        <color indexed="8"/>
      </top>
      <bottom style="medium">
        <color indexed="8"/>
      </bottom>
      <diagonal/>
    </border>
    <border>
      <left style="thin">
        <color indexed="8"/>
      </left>
      <right style="thin">
        <color indexed="10"/>
      </right>
      <top style="medium">
        <color indexed="8"/>
      </top>
      <bottom style="thin">
        <color indexed="8"/>
      </bottom>
      <diagonal/>
    </border>
    <border>
      <left style="thin">
        <color indexed="10"/>
      </left>
      <right style="thin">
        <color indexed="8"/>
      </right>
      <top style="medium">
        <color indexed="8"/>
      </top>
      <bottom style="thin">
        <color indexed="8"/>
      </bottom>
      <diagonal/>
    </border>
    <border>
      <left style="thin">
        <color indexed="8"/>
      </left>
      <right style="thin">
        <color indexed="8"/>
      </right>
      <top style="thin">
        <color indexed="8"/>
      </top>
      <bottom style="thin">
        <color indexed="10"/>
      </bottom>
      <diagonal/>
    </border>
    <border>
      <left style="thin">
        <color indexed="8"/>
      </left>
      <right style="thin">
        <color indexed="10"/>
      </right>
      <top style="thin">
        <color indexed="10"/>
      </top>
      <bottom style="hair">
        <color indexed="8"/>
      </bottom>
      <diagonal/>
    </border>
    <border>
      <left style="thin">
        <color indexed="10"/>
      </left>
      <right style="thin">
        <color indexed="10"/>
      </right>
      <top style="thin">
        <color indexed="10"/>
      </top>
      <bottom style="hair">
        <color indexed="8"/>
      </bottom>
      <diagonal/>
    </border>
    <border>
      <left style="thin">
        <color indexed="8"/>
      </left>
      <right style="hair">
        <color indexed="8"/>
      </right>
      <top style="thin">
        <color indexed="10"/>
      </top>
      <bottom style="thin">
        <color indexed="10"/>
      </bottom>
      <diagonal/>
    </border>
    <border>
      <left style="hair">
        <color indexed="8"/>
      </left>
      <right style="thin">
        <color indexed="10"/>
      </right>
      <top style="thin">
        <color indexed="8"/>
      </top>
      <bottom style="hair">
        <color indexed="8"/>
      </bottom>
      <diagonal/>
    </border>
    <border>
      <left style="thin">
        <color indexed="10"/>
      </left>
      <right style="hair">
        <color indexed="8"/>
      </right>
      <top style="thin">
        <color indexed="8"/>
      </top>
      <bottom style="thin">
        <color indexed="10"/>
      </bottom>
      <diagonal/>
    </border>
    <border>
      <left style="hair">
        <color indexed="8"/>
      </left>
      <right style="thin">
        <color indexed="10"/>
      </right>
      <top style="thin">
        <color indexed="8"/>
      </top>
      <bottom style="thin">
        <color indexed="10"/>
      </bottom>
      <diagonal/>
    </border>
    <border>
      <left style="thin">
        <color indexed="10"/>
      </left>
      <right style="thin">
        <color indexed="10"/>
      </right>
      <top style="hair">
        <color indexed="8"/>
      </top>
      <bottom style="thin">
        <color indexed="10"/>
      </bottom>
      <diagonal/>
    </border>
    <border>
      <left style="hair">
        <color indexed="8"/>
      </left>
      <right style="thin">
        <color indexed="10"/>
      </right>
      <top style="hair">
        <color indexed="8"/>
      </top>
      <bottom style="thin">
        <color indexed="10"/>
      </bottom>
      <diagonal/>
    </border>
    <border>
      <left style="thin">
        <color indexed="10"/>
      </left>
      <right style="hair">
        <color indexed="8"/>
      </right>
      <top style="thin">
        <color indexed="10"/>
      </top>
      <bottom style="hair">
        <color indexed="8"/>
      </bottom>
      <diagonal/>
    </border>
    <border>
      <left style="hair">
        <color indexed="8"/>
      </left>
      <right style="hair">
        <color indexed="8"/>
      </right>
      <top style="thin">
        <color indexed="10"/>
      </top>
      <bottom style="thin">
        <color indexed="10"/>
      </bottom>
      <diagonal/>
    </border>
    <border>
      <left style="hair">
        <color indexed="8"/>
      </left>
      <right style="hair">
        <color indexed="8"/>
      </right>
      <top style="thin">
        <color indexed="10"/>
      </top>
      <bottom style="hair">
        <color indexed="8"/>
      </bottom>
      <diagonal/>
    </border>
    <border>
      <left style="hair">
        <color indexed="8"/>
      </left>
      <right style="thin">
        <color indexed="10"/>
      </right>
      <top style="thin">
        <color indexed="10"/>
      </top>
      <bottom style="thin">
        <color indexed="10"/>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10"/>
      </bottom>
      <diagonal/>
    </border>
    <border>
      <left style="thin">
        <color indexed="10"/>
      </left>
      <right style="hair">
        <color indexed="8"/>
      </right>
      <top style="thin">
        <color indexed="10"/>
      </top>
      <bottom style="thin">
        <color indexed="10"/>
      </bottom>
      <diagonal/>
    </border>
    <border>
      <left style="thin">
        <color indexed="10"/>
      </left>
      <right style="hair">
        <color indexed="8"/>
      </right>
      <top style="hair">
        <color indexed="8"/>
      </top>
      <bottom style="hair">
        <color indexed="8"/>
      </bottom>
      <diagonal/>
    </border>
    <border>
      <left style="thin">
        <color indexed="10"/>
      </left>
      <right style="thin">
        <color indexed="10"/>
      </right>
      <top style="hair">
        <color indexed="8"/>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10"/>
      </right>
      <top style="medium">
        <color indexed="8"/>
      </top>
      <bottom style="thin">
        <color indexed="10"/>
      </bottom>
      <diagonal/>
    </border>
    <border>
      <left style="thin">
        <color indexed="10"/>
      </left>
      <right style="thin">
        <color indexed="8"/>
      </right>
      <top style="medium">
        <color indexed="8"/>
      </top>
      <bottom style="thin">
        <color indexed="10"/>
      </bottom>
      <diagonal/>
    </border>
    <border>
      <left style="thin">
        <color indexed="10"/>
      </left>
      <right style="medium">
        <color indexed="8"/>
      </right>
      <top style="medium">
        <color indexed="8"/>
      </top>
      <bottom style="medium">
        <color indexed="8"/>
      </bottom>
      <diagonal/>
    </border>
    <border>
      <left style="medium">
        <color indexed="8"/>
      </left>
      <right style="thin">
        <color indexed="10"/>
      </right>
      <top style="medium">
        <color indexed="8"/>
      </top>
      <bottom style="thin">
        <color indexed="8"/>
      </bottom>
      <diagonal/>
    </border>
    <border>
      <left style="thin">
        <color indexed="10"/>
      </left>
      <right style="medium">
        <color indexed="8"/>
      </right>
      <top style="medium">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top style="thin">
        <color indexed="8"/>
      </top>
      <bottom style="thin">
        <color indexed="8"/>
      </bottom>
      <diagonal/>
    </border>
    <border>
      <left style="medium">
        <color indexed="8"/>
      </left>
      <right style="thin">
        <color indexed="10"/>
      </right>
      <top style="thin">
        <color indexed="8"/>
      </top>
      <bottom style="thin">
        <color indexed="10"/>
      </bottom>
      <diagonal/>
    </border>
    <border>
      <left style="thin">
        <color indexed="10"/>
      </left>
      <right style="medium">
        <color indexed="8"/>
      </right>
      <top style="thin">
        <color indexed="8"/>
      </top>
      <bottom style="thin">
        <color indexed="10"/>
      </bottom>
      <diagonal/>
    </border>
    <border>
      <left style="thin">
        <color indexed="10"/>
      </left>
      <right style="thin">
        <color indexed="10"/>
      </right>
      <top style="thin">
        <color indexed="10"/>
      </top>
      <bottom/>
      <diagonal/>
    </border>
    <border>
      <left style="medium">
        <color indexed="8"/>
      </left>
      <right/>
      <top style="thin">
        <color indexed="10"/>
      </top>
      <bottom style="thin">
        <color indexed="10"/>
      </bottom>
      <diagonal/>
    </border>
    <border>
      <left/>
      <right style="thin">
        <color indexed="10"/>
      </right>
      <top style="thin">
        <color indexed="10"/>
      </top>
      <bottom style="thin">
        <color indexed="10"/>
      </bottom>
      <diagonal/>
    </border>
    <border>
      <left style="medium">
        <color indexed="8"/>
      </left>
      <right style="thin">
        <color indexed="10"/>
      </right>
      <top style="thin">
        <color indexed="10"/>
      </top>
      <bottom style="thin">
        <color indexed="8"/>
      </bottom>
      <diagonal/>
    </border>
    <border>
      <left style="thin">
        <color indexed="10"/>
      </left>
      <right style="medium">
        <color indexed="8"/>
      </right>
      <top style="thin">
        <color indexed="10"/>
      </top>
      <bottom style="thin">
        <color indexed="8"/>
      </bottom>
      <diagonal/>
    </border>
    <border>
      <left/>
      <right style="thin">
        <color indexed="10"/>
      </right>
      <top style="thin">
        <color indexed="8"/>
      </top>
      <bottom style="thin">
        <color indexed="8"/>
      </bottom>
      <diagonal/>
    </border>
    <border>
      <left/>
      <right style="thin">
        <color indexed="10"/>
      </right>
      <top style="thin">
        <color indexed="8"/>
      </top>
      <bottom style="thin">
        <color indexed="10"/>
      </bottom>
      <diagonal/>
    </border>
    <border>
      <left style="thin">
        <color indexed="10"/>
      </left>
      <right style="thin">
        <color indexed="10"/>
      </right>
      <top style="thin">
        <color indexed="8"/>
      </top>
      <bottom style="medium">
        <color indexed="8"/>
      </bottom>
      <diagonal/>
    </border>
    <border>
      <left style="thin">
        <color indexed="10"/>
      </left>
      <right style="medium">
        <color indexed="8"/>
      </right>
      <top style="thin">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10"/>
      </right>
      <top style="thin">
        <color indexed="8"/>
      </top>
      <bottom style="thin">
        <color indexed="8"/>
      </bottom>
      <diagonal/>
    </border>
    <border>
      <left style="thin">
        <color indexed="10"/>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10"/>
      </right>
      <top style="thin">
        <color indexed="10"/>
      </top>
      <bottom style="thick">
        <color indexed="8"/>
      </bottom>
      <diagonal/>
    </border>
    <border>
      <left style="thin">
        <color indexed="10"/>
      </left>
      <right style="thin">
        <color indexed="10"/>
      </right>
      <top style="thin">
        <color indexed="10"/>
      </top>
      <bottom style="thick">
        <color indexed="8"/>
      </bottom>
      <diagonal/>
    </border>
    <border>
      <left style="thin">
        <color indexed="10"/>
      </left>
      <right style="medium">
        <color indexed="8"/>
      </right>
      <top style="thin">
        <color indexed="10"/>
      </top>
      <bottom style="thick">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n">
        <color indexed="10"/>
      </right>
      <top style="thick">
        <color indexed="8"/>
      </top>
      <bottom style="thick">
        <color indexed="8"/>
      </bottom>
      <diagonal/>
    </border>
    <border>
      <left style="thin">
        <color indexed="10"/>
      </left>
      <right style="thin">
        <color indexed="10"/>
      </right>
      <top style="thick">
        <color indexed="8"/>
      </top>
      <bottom style="thick">
        <color indexed="8"/>
      </bottom>
      <diagonal/>
    </border>
    <border>
      <left style="thin">
        <color indexed="10"/>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10"/>
      </right>
      <top style="thin">
        <color indexed="10"/>
      </top>
      <bottom style="thin">
        <color indexed="10"/>
      </bottom>
      <diagonal/>
    </border>
    <border>
      <left/>
      <right style="thin">
        <color indexed="10"/>
      </right>
      <top/>
      <bottom/>
      <diagonal/>
    </border>
    <border>
      <left style="thin">
        <color indexed="10"/>
      </left>
      <right style="thin">
        <color indexed="10"/>
      </right>
      <top/>
      <bottom/>
      <diagonal/>
    </border>
    <border>
      <left style="thin">
        <color indexed="10"/>
      </left>
      <right/>
      <top/>
      <bottom/>
      <diagonal/>
    </border>
    <border>
      <left/>
      <right/>
      <top/>
      <bottom style="hair">
        <color indexed="17"/>
      </bottom>
      <diagonal/>
    </border>
    <border>
      <left/>
      <right/>
      <top style="hair">
        <color indexed="17"/>
      </top>
      <bottom/>
      <diagonal/>
    </border>
    <border>
      <left/>
      <right/>
      <top style="hair">
        <color indexed="17"/>
      </top>
      <bottom style="hair">
        <color indexed="17"/>
      </bottom>
      <diagonal/>
    </border>
    <border>
      <left/>
      <right style="hair">
        <color indexed="17"/>
      </right>
      <top/>
      <bottom/>
      <diagonal/>
    </border>
    <border>
      <left style="hair">
        <color indexed="17"/>
      </left>
      <right style="thin">
        <color indexed="10"/>
      </right>
      <top style="hair">
        <color indexed="17"/>
      </top>
      <bottom style="hair">
        <color indexed="17"/>
      </bottom>
      <diagonal/>
    </border>
    <border>
      <left style="thin">
        <color indexed="10"/>
      </left>
      <right style="thin">
        <color indexed="10"/>
      </right>
      <top style="hair">
        <color indexed="17"/>
      </top>
      <bottom style="hair">
        <color indexed="17"/>
      </bottom>
      <diagonal/>
    </border>
    <border>
      <left style="thin">
        <color indexed="10"/>
      </left>
      <right style="hair">
        <color indexed="17"/>
      </right>
      <top style="hair">
        <color indexed="17"/>
      </top>
      <bottom style="hair">
        <color indexed="17"/>
      </bottom>
      <diagonal/>
    </border>
    <border>
      <left style="hair">
        <color indexed="17"/>
      </left>
      <right style="hair">
        <color indexed="17"/>
      </right>
      <top/>
      <bottom/>
      <diagonal/>
    </border>
    <border>
      <left style="hair">
        <color indexed="17"/>
      </left>
      <right/>
      <top/>
      <bottom/>
      <diagonal/>
    </border>
    <border>
      <left style="hair">
        <color indexed="17"/>
      </left>
      <right/>
      <top style="hair">
        <color indexed="17"/>
      </top>
      <bottom/>
      <diagonal/>
    </border>
    <border>
      <left/>
      <right style="hair">
        <color indexed="17"/>
      </right>
      <top style="hair">
        <color indexed="17"/>
      </top>
      <bottom/>
      <diagonal/>
    </border>
    <border>
      <left style="hair">
        <color indexed="17"/>
      </left>
      <right style="hair">
        <color indexed="17"/>
      </right>
      <top style="hair">
        <color indexed="17"/>
      </top>
      <bottom style="hair">
        <color indexed="17"/>
      </bottom>
      <diagonal/>
    </border>
    <border>
      <left style="hair">
        <color indexed="17"/>
      </left>
      <right/>
      <top/>
      <bottom style="hair">
        <color indexed="17"/>
      </bottom>
      <diagonal/>
    </border>
    <border>
      <left/>
      <right style="hair">
        <color indexed="17"/>
      </right>
      <top/>
      <bottom style="hair">
        <color indexed="17"/>
      </bottom>
      <diagonal/>
    </border>
  </borders>
  <cellStyleXfs count="2">
    <xf numFmtId="0" fontId="0" fillId="0" borderId="0" applyNumberFormat="0" applyFill="0" applyBorder="0" applyProtection="0">
      <alignment vertical="top" wrapText="1"/>
    </xf>
    <xf numFmtId="9" fontId="20" fillId="0" borderId="0" applyFont="0" applyFill="0" applyBorder="0" applyAlignment="0" applyProtection="0"/>
  </cellStyleXfs>
  <cellXfs count="473">
    <xf numFmtId="0" fontId="0" fillId="0" borderId="0" xfId="0" applyFont="1" applyAlignment="1">
      <alignment vertical="top" wrapText="1"/>
    </xf>
    <xf numFmtId="0" fontId="1" fillId="0" borderId="0" xfId="0" applyNumberFormat="1" applyFont="1" applyAlignment="1"/>
    <xf numFmtId="0" fontId="1" fillId="0" borderId="4" xfId="0" applyFont="1" applyBorder="1" applyAlignment="1"/>
    <xf numFmtId="0" fontId="1" fillId="0" borderId="5" xfId="0" applyFont="1" applyBorder="1" applyAlignment="1"/>
    <xf numFmtId="1" fontId="3" fillId="0" borderId="4" xfId="0" applyNumberFormat="1" applyFont="1" applyBorder="1" applyAlignment="1">
      <alignment horizontal="center"/>
    </xf>
    <xf numFmtId="1" fontId="3" fillId="0" borderId="5" xfId="0" applyNumberFormat="1" applyFont="1" applyBorder="1" applyAlignment="1">
      <alignment horizontal="center"/>
    </xf>
    <xf numFmtId="1" fontId="4" fillId="0" borderId="6" xfId="0" applyNumberFormat="1" applyFont="1" applyBorder="1" applyAlignment="1">
      <alignment horizontal="center"/>
    </xf>
    <xf numFmtId="0" fontId="1" fillId="0" borderId="10" xfId="0" applyFont="1" applyBorder="1" applyAlignment="1"/>
    <xf numFmtId="0" fontId="1" fillId="0" borderId="2" xfId="0" applyFont="1" applyBorder="1" applyAlignment="1"/>
    <xf numFmtId="0" fontId="1" fillId="0" borderId="14" xfId="0" applyFont="1" applyBorder="1" applyAlignment="1"/>
    <xf numFmtId="0" fontId="1" fillId="0" borderId="15" xfId="0" applyFont="1" applyBorder="1" applyAlignment="1"/>
    <xf numFmtId="1" fontId="4" fillId="0" borderId="5" xfId="0" applyNumberFormat="1" applyFont="1" applyBorder="1" applyAlignment="1"/>
    <xf numFmtId="1" fontId="1" fillId="0" borderId="5" xfId="0" applyNumberFormat="1" applyFont="1" applyBorder="1" applyAlignment="1"/>
    <xf numFmtId="0" fontId="1" fillId="0" borderId="16" xfId="0" applyNumberFormat="1" applyFont="1" applyBorder="1" applyAlignment="1"/>
    <xf numFmtId="1" fontId="1" fillId="0" borderId="17" xfId="0" applyNumberFormat="1" applyFont="1" applyBorder="1" applyAlignment="1"/>
    <xf numFmtId="1" fontId="1" fillId="0" borderId="17" xfId="0" applyNumberFormat="1" applyFont="1" applyBorder="1" applyAlignment="1">
      <alignment horizontal="right"/>
    </xf>
    <xf numFmtId="3" fontId="1" fillId="0" borderId="18" xfId="0" applyNumberFormat="1" applyFont="1" applyBorder="1" applyAlignment="1">
      <alignment horizontal="right"/>
    </xf>
    <xf numFmtId="10" fontId="1" fillId="0" borderId="18" xfId="0" applyNumberFormat="1" applyFont="1" applyBorder="1" applyAlignment="1">
      <alignment horizontal="right"/>
    </xf>
    <xf numFmtId="165" fontId="1" fillId="0" borderId="5" xfId="0" applyNumberFormat="1" applyFont="1" applyBorder="1" applyAlignment="1"/>
    <xf numFmtId="1" fontId="5" fillId="0" borderId="5" xfId="0" applyNumberFormat="1" applyFont="1" applyBorder="1" applyAlignment="1"/>
    <xf numFmtId="0" fontId="1" fillId="0" borderId="19" xfId="0" applyNumberFormat="1" applyFont="1" applyBorder="1" applyAlignment="1"/>
    <xf numFmtId="1" fontId="1" fillId="0" borderId="19" xfId="0" applyNumberFormat="1" applyFont="1" applyBorder="1" applyAlignment="1"/>
    <xf numFmtId="1" fontId="1" fillId="0" borderId="19" xfId="0" applyNumberFormat="1" applyFont="1" applyBorder="1" applyAlignment="1">
      <alignment horizontal="right"/>
    </xf>
    <xf numFmtId="3" fontId="1" fillId="0" borderId="20" xfId="0" applyNumberFormat="1" applyFont="1" applyBorder="1" applyAlignment="1">
      <alignment horizontal="right"/>
    </xf>
    <xf numFmtId="0" fontId="1" fillId="0" borderId="15" xfId="0" applyNumberFormat="1" applyFont="1" applyBorder="1" applyAlignment="1"/>
    <xf numFmtId="0" fontId="1" fillId="0" borderId="21" xfId="0" applyNumberFormat="1" applyFont="1" applyBorder="1" applyAlignment="1">
      <alignment horizontal="right"/>
    </xf>
    <xf numFmtId="1" fontId="1" fillId="0" borderId="5" xfId="0" applyNumberFormat="1" applyFont="1" applyBorder="1" applyAlignment="1">
      <alignment wrapText="1"/>
    </xf>
    <xf numFmtId="0" fontId="1" fillId="0" borderId="17" xfId="0" applyNumberFormat="1" applyFont="1" applyBorder="1" applyAlignment="1"/>
    <xf numFmtId="9" fontId="1" fillId="0" borderId="17" xfId="0" applyNumberFormat="1" applyFont="1" applyBorder="1" applyAlignment="1">
      <alignment horizontal="right"/>
    </xf>
    <xf numFmtId="3" fontId="1" fillId="0" borderId="17" xfId="0" applyNumberFormat="1" applyFont="1" applyBorder="1" applyAlignment="1"/>
    <xf numFmtId="1" fontId="1" fillId="0" borderId="14" xfId="0" applyNumberFormat="1" applyFont="1" applyBorder="1" applyAlignment="1"/>
    <xf numFmtId="0" fontId="4" fillId="0" borderId="15" xfId="0" applyNumberFormat="1" applyFont="1" applyBorder="1" applyAlignment="1"/>
    <xf numFmtId="3" fontId="4" fillId="0" borderId="21" xfId="0" applyNumberFormat="1" applyFont="1" applyBorder="1" applyAlignment="1">
      <alignment horizontal="right"/>
    </xf>
    <xf numFmtId="1" fontId="1" fillId="0" borderId="15" xfId="0" applyNumberFormat="1" applyFont="1" applyBorder="1" applyAlignment="1"/>
    <xf numFmtId="10" fontId="1" fillId="0" borderId="5" xfId="0" applyNumberFormat="1" applyFont="1" applyBorder="1" applyAlignment="1">
      <alignment horizontal="right"/>
    </xf>
    <xf numFmtId="9" fontId="1" fillId="0" borderId="5" xfId="0" applyNumberFormat="1" applyFont="1" applyBorder="1" applyAlignment="1">
      <alignment horizontal="right"/>
    </xf>
    <xf numFmtId="3" fontId="1" fillId="0" borderId="21" xfId="0" applyNumberFormat="1" applyFont="1" applyBorder="1" applyAlignment="1">
      <alignment horizontal="right"/>
    </xf>
    <xf numFmtId="3" fontId="4" fillId="0" borderId="21" xfId="0" applyNumberFormat="1" applyFont="1" applyBorder="1" applyAlignment="1"/>
    <xf numFmtId="9" fontId="1" fillId="0" borderId="5" xfId="0" applyNumberFormat="1" applyFont="1" applyBorder="1" applyAlignment="1">
      <alignment horizontal="left"/>
    </xf>
    <xf numFmtId="1" fontId="1" fillId="0" borderId="5" xfId="0" applyNumberFormat="1" applyFont="1" applyBorder="1" applyAlignment="1">
      <alignment horizontal="right"/>
    </xf>
    <xf numFmtId="9" fontId="6" fillId="0" borderId="21" xfId="0" applyNumberFormat="1" applyFont="1" applyBorder="1" applyAlignment="1">
      <alignment horizontal="right"/>
    </xf>
    <xf numFmtId="10" fontId="1" fillId="0" borderId="5" xfId="0" applyNumberFormat="1" applyFont="1" applyBorder="1" applyAlignment="1"/>
    <xf numFmtId="1" fontId="1" fillId="0" borderId="21" xfId="0" applyNumberFormat="1" applyFont="1" applyBorder="1" applyAlignment="1"/>
    <xf numFmtId="0" fontId="1" fillId="0" borderId="15" xfId="0" applyNumberFormat="1" applyFont="1" applyBorder="1" applyAlignment="1">
      <alignment horizontal="left"/>
    </xf>
    <xf numFmtId="0" fontId="1" fillId="0" borderId="5" xfId="0" applyNumberFormat="1" applyFont="1" applyBorder="1" applyAlignment="1"/>
    <xf numFmtId="9" fontId="1" fillId="0" borderId="5" xfId="0" applyNumberFormat="1" applyFont="1" applyBorder="1" applyAlignment="1"/>
    <xf numFmtId="0" fontId="1" fillId="0" borderId="15" xfId="0" applyNumberFormat="1" applyFont="1" applyBorder="1" applyAlignment="1">
      <alignment horizontal="right"/>
    </xf>
    <xf numFmtId="9" fontId="1" fillId="0" borderId="21" xfId="0" applyNumberFormat="1" applyFont="1" applyBorder="1" applyAlignment="1"/>
    <xf numFmtId="166" fontId="1" fillId="0" borderId="5" xfId="0" applyNumberFormat="1" applyFont="1" applyBorder="1" applyAlignment="1"/>
    <xf numFmtId="167" fontId="4" fillId="0" borderId="5" xfId="0" applyNumberFormat="1" applyFont="1" applyBorder="1" applyAlignment="1"/>
    <xf numFmtId="167" fontId="4" fillId="0" borderId="21" xfId="0" applyNumberFormat="1" applyFont="1" applyBorder="1" applyAlignment="1">
      <alignment horizontal="right"/>
    </xf>
    <xf numFmtId="168" fontId="4" fillId="0" borderId="15" xfId="0" applyNumberFormat="1" applyFont="1" applyBorder="1" applyAlignment="1"/>
    <xf numFmtId="0" fontId="4" fillId="0" borderId="15" xfId="0" applyFont="1" applyBorder="1" applyAlignment="1"/>
    <xf numFmtId="166" fontId="4" fillId="0" borderId="21" xfId="0" applyNumberFormat="1" applyFont="1" applyBorder="1" applyAlignment="1">
      <alignment horizontal="right"/>
    </xf>
    <xf numFmtId="0" fontId="4" fillId="0" borderId="5" xfId="0" applyNumberFormat="1" applyFont="1" applyBorder="1" applyAlignment="1"/>
    <xf numFmtId="0" fontId="1" fillId="0" borderId="22" xfId="0" applyNumberFormat="1" applyFont="1" applyBorder="1" applyAlignment="1">
      <alignment horizontal="right"/>
    </xf>
    <xf numFmtId="1" fontId="1" fillId="0" borderId="20" xfId="0" applyNumberFormat="1" applyFont="1" applyBorder="1" applyAlignment="1"/>
    <xf numFmtId="0" fontId="1" fillId="0" borderId="17" xfId="0" applyNumberFormat="1" applyFont="1" applyBorder="1" applyAlignment="1">
      <alignment horizontal="right"/>
    </xf>
    <xf numFmtId="0" fontId="4" fillId="0" borderId="22" xfId="0" applyNumberFormat="1" applyFont="1" applyBorder="1" applyAlignment="1"/>
    <xf numFmtId="1" fontId="4" fillId="0" borderId="19" xfId="0" applyNumberFormat="1" applyFont="1" applyBorder="1" applyAlignment="1"/>
    <xf numFmtId="167" fontId="4" fillId="0" borderId="20" xfId="0" applyNumberFormat="1" applyFont="1" applyBorder="1" applyAlignment="1">
      <alignment horizontal="right"/>
    </xf>
    <xf numFmtId="1" fontId="4" fillId="0" borderId="15" xfId="0" applyNumberFormat="1" applyFont="1" applyBorder="1" applyAlignment="1"/>
    <xf numFmtId="0" fontId="1" fillId="0" borderId="12" xfId="0" applyFont="1" applyBorder="1" applyAlignment="1"/>
    <xf numFmtId="0" fontId="1" fillId="0" borderId="19" xfId="0" applyNumberFormat="1" applyFont="1" applyBorder="1" applyAlignment="1">
      <alignment horizontal="right"/>
    </xf>
    <xf numFmtId="9" fontId="1" fillId="0" borderId="20" xfId="0" applyNumberFormat="1" applyFont="1" applyBorder="1" applyAlignment="1"/>
    <xf numFmtId="169" fontId="1" fillId="0" borderId="5" xfId="0" applyNumberFormat="1" applyFont="1" applyBorder="1" applyAlignment="1"/>
    <xf numFmtId="0" fontId="4" fillId="2" borderId="23" xfId="0" applyNumberFormat="1" applyFont="1" applyFill="1" applyBorder="1" applyAlignment="1">
      <alignment wrapText="1"/>
    </xf>
    <xf numFmtId="170" fontId="4" fillId="2" borderId="24" xfId="0" applyNumberFormat="1" applyFont="1" applyFill="1" applyBorder="1" applyAlignment="1">
      <alignment wrapText="1"/>
    </xf>
    <xf numFmtId="0" fontId="4" fillId="2" borderId="24" xfId="0" applyNumberFormat="1" applyFont="1" applyFill="1" applyBorder="1" applyAlignment="1">
      <alignment horizontal="left"/>
    </xf>
    <xf numFmtId="9" fontId="4" fillId="2" borderId="24" xfId="0" applyNumberFormat="1" applyFont="1" applyFill="1" applyBorder="1" applyAlignment="1">
      <alignment horizontal="right"/>
    </xf>
    <xf numFmtId="167" fontId="4" fillId="2" borderId="25" xfId="0" applyNumberFormat="1" applyFont="1" applyFill="1" applyBorder="1" applyAlignment="1">
      <alignment horizontal="right"/>
    </xf>
    <xf numFmtId="1" fontId="1" fillId="0" borderId="16" xfId="0" applyNumberFormat="1" applyFont="1" applyBorder="1" applyAlignment="1"/>
    <xf numFmtId="0" fontId="4" fillId="0" borderId="17" xfId="0" applyNumberFormat="1" applyFont="1" applyBorder="1" applyAlignment="1">
      <alignment horizontal="center"/>
    </xf>
    <xf numFmtId="0" fontId="4" fillId="0" borderId="18" xfId="0" applyNumberFormat="1" applyFont="1" applyBorder="1" applyAlignment="1">
      <alignment horizontal="center"/>
    </xf>
    <xf numFmtId="1" fontId="1" fillId="0" borderId="5" xfId="0" applyNumberFormat="1" applyFont="1" applyBorder="1" applyAlignment="1">
      <alignment horizontal="center"/>
    </xf>
    <xf numFmtId="1" fontId="4" fillId="0" borderId="5" xfId="0" applyNumberFormat="1" applyFont="1" applyBorder="1" applyAlignment="1">
      <alignment horizontal="center"/>
    </xf>
    <xf numFmtId="171" fontId="4" fillId="0" borderId="5" xfId="0" applyNumberFormat="1" applyFont="1" applyBorder="1" applyAlignment="1"/>
    <xf numFmtId="171" fontId="1" fillId="0" borderId="5" xfId="0" applyNumberFormat="1" applyFont="1" applyBorder="1" applyAlignment="1">
      <alignment horizontal="center"/>
    </xf>
    <xf numFmtId="0" fontId="4" fillId="2" borderId="26" xfId="0" applyNumberFormat="1" applyFont="1" applyFill="1" applyBorder="1" applyAlignment="1">
      <alignment wrapText="1"/>
    </xf>
    <xf numFmtId="170" fontId="4" fillId="2" borderId="27" xfId="0" applyNumberFormat="1" applyFont="1" applyFill="1" applyBorder="1" applyAlignment="1">
      <alignment wrapText="1"/>
    </xf>
    <xf numFmtId="0" fontId="4" fillId="2" borderId="27" xfId="0" applyNumberFormat="1" applyFont="1" applyFill="1" applyBorder="1" applyAlignment="1">
      <alignment horizontal="left"/>
    </xf>
    <xf numFmtId="9" fontId="4" fillId="2" borderId="27" xfId="0" applyNumberFormat="1" applyFont="1" applyFill="1" applyBorder="1" applyAlignment="1">
      <alignment horizontal="right"/>
    </xf>
    <xf numFmtId="167" fontId="4" fillId="2" borderId="28" xfId="0" applyNumberFormat="1" applyFont="1" applyFill="1" applyBorder="1" applyAlignment="1">
      <alignment horizontal="right"/>
    </xf>
    <xf numFmtId="167" fontId="4" fillId="0" borderId="5" xfId="0" applyNumberFormat="1" applyFont="1" applyBorder="1" applyAlignment="1">
      <alignment horizontal="right"/>
    </xf>
    <xf numFmtId="1" fontId="4" fillId="0" borderId="5" xfId="0" applyNumberFormat="1" applyFont="1" applyBorder="1" applyAlignment="1">
      <alignment horizontal="right"/>
    </xf>
    <xf numFmtId="172" fontId="7" fillId="0" borderId="5" xfId="0" applyNumberFormat="1" applyFont="1" applyBorder="1" applyAlignment="1"/>
    <xf numFmtId="172" fontId="1" fillId="0" borderId="21" xfId="0" applyNumberFormat="1" applyFont="1" applyBorder="1" applyAlignment="1">
      <alignment horizontal="right"/>
    </xf>
    <xf numFmtId="1" fontId="4" fillId="2" borderId="26" xfId="0" applyNumberFormat="1" applyFont="1" applyFill="1" applyBorder="1" applyAlignment="1">
      <alignment wrapText="1"/>
    </xf>
    <xf numFmtId="173" fontId="4" fillId="2" borderId="27" xfId="0" applyNumberFormat="1" applyFont="1" applyFill="1" applyBorder="1" applyAlignment="1">
      <alignment horizontal="left"/>
    </xf>
    <xf numFmtId="0" fontId="4" fillId="2" borderId="27" xfId="0" applyNumberFormat="1" applyFont="1" applyFill="1" applyBorder="1" applyAlignment="1">
      <alignment wrapText="1"/>
    </xf>
    <xf numFmtId="173" fontId="4" fillId="2" borderId="27" xfId="0" applyNumberFormat="1" applyFont="1" applyFill="1" applyBorder="1" applyAlignment="1">
      <alignment horizontal="right"/>
    </xf>
    <xf numFmtId="174" fontId="4" fillId="2" borderId="28" xfId="0" applyNumberFormat="1" applyFont="1" applyFill="1" applyBorder="1" applyAlignment="1">
      <alignment horizontal="right"/>
    </xf>
    <xf numFmtId="2" fontId="7" fillId="0" borderId="5" xfId="0" applyNumberFormat="1" applyFont="1" applyBorder="1" applyAlignment="1"/>
    <xf numFmtId="1" fontId="1" fillId="0" borderId="21" xfId="0" applyNumberFormat="1" applyFont="1" applyBorder="1" applyAlignment="1">
      <alignment horizontal="right"/>
    </xf>
    <xf numFmtId="171" fontId="1" fillId="0" borderId="5" xfId="0" applyNumberFormat="1" applyFont="1" applyBorder="1" applyAlignment="1">
      <alignment horizontal="right"/>
    </xf>
    <xf numFmtId="171" fontId="4" fillId="0" borderId="5" xfId="0" applyNumberFormat="1" applyFont="1" applyBorder="1" applyAlignment="1">
      <alignment horizontal="center"/>
    </xf>
    <xf numFmtId="175" fontId="4" fillId="2" borderId="27" xfId="0" applyNumberFormat="1" applyFont="1" applyFill="1" applyBorder="1" applyAlignment="1">
      <alignment wrapText="1"/>
    </xf>
    <xf numFmtId="175" fontId="4" fillId="2" borderId="27" xfId="0" applyNumberFormat="1" applyFont="1" applyFill="1" applyBorder="1" applyAlignment="1"/>
    <xf numFmtId="175" fontId="4" fillId="2" borderId="28" xfId="0" applyNumberFormat="1" applyFont="1" applyFill="1" applyBorder="1" applyAlignment="1">
      <alignment horizontal="right"/>
    </xf>
    <xf numFmtId="38" fontId="1" fillId="0" borderId="5" xfId="0" applyNumberFormat="1" applyFont="1" applyBorder="1" applyAlignment="1">
      <alignment horizontal="center"/>
    </xf>
    <xf numFmtId="0" fontId="4" fillId="2" borderId="27" xfId="0" applyNumberFormat="1" applyFont="1" applyFill="1" applyBorder="1" applyAlignment="1">
      <alignment horizontal="right" wrapText="1"/>
    </xf>
    <xf numFmtId="174" fontId="4" fillId="2" borderId="27" xfId="0" applyNumberFormat="1" applyFont="1" applyFill="1" applyBorder="1" applyAlignment="1">
      <alignment horizontal="left"/>
    </xf>
    <xf numFmtId="173" fontId="4" fillId="2" borderId="28" xfId="0" applyNumberFormat="1" applyFont="1" applyFill="1" applyBorder="1" applyAlignment="1">
      <alignment horizontal="right"/>
    </xf>
    <xf numFmtId="9" fontId="7" fillId="0" borderId="21" xfId="0" applyNumberFormat="1" applyFont="1" applyBorder="1" applyAlignment="1"/>
    <xf numFmtId="9" fontId="4" fillId="0" borderId="15" xfId="0" applyNumberFormat="1" applyFont="1" applyBorder="1" applyAlignment="1"/>
    <xf numFmtId="1" fontId="4" fillId="2" borderId="27" xfId="0" applyNumberFormat="1" applyFont="1" applyFill="1" applyBorder="1" applyAlignment="1">
      <alignment wrapText="1"/>
    </xf>
    <xf numFmtId="176" fontId="4" fillId="0" borderId="21" xfId="0" applyNumberFormat="1" applyFont="1" applyBorder="1" applyAlignment="1"/>
    <xf numFmtId="9" fontId="1" fillId="0" borderId="15" xfId="0" applyNumberFormat="1" applyFont="1" applyBorder="1" applyAlignment="1"/>
    <xf numFmtId="171" fontId="4" fillId="0" borderId="5" xfId="0" applyNumberFormat="1" applyFont="1" applyBorder="1" applyAlignment="1">
      <alignment horizontal="right"/>
    </xf>
    <xf numFmtId="0" fontId="4" fillId="2" borderId="29" xfId="0" applyNumberFormat="1" applyFont="1" applyFill="1" applyBorder="1" applyAlignment="1"/>
    <xf numFmtId="1" fontId="4" fillId="2" borderId="30" xfId="0" applyNumberFormat="1" applyFont="1" applyFill="1" applyBorder="1" applyAlignment="1"/>
    <xf numFmtId="173" fontId="4" fillId="2" borderId="30" xfId="0" applyNumberFormat="1" applyFont="1" applyFill="1" applyBorder="1" applyAlignment="1">
      <alignment horizontal="right"/>
    </xf>
    <xf numFmtId="177" fontId="4" fillId="2" borderId="31" xfId="0" applyNumberFormat="1" applyFont="1" applyFill="1" applyBorder="1" applyAlignment="1">
      <alignment horizontal="left"/>
    </xf>
    <xf numFmtId="172" fontId="7" fillId="0" borderId="21" xfId="0" applyNumberFormat="1" applyFont="1" applyBorder="1" applyAlignment="1">
      <alignment horizontal="right"/>
    </xf>
    <xf numFmtId="178" fontId="1" fillId="0" borderId="15" xfId="0" applyNumberFormat="1" applyFont="1" applyBorder="1" applyAlignment="1"/>
    <xf numFmtId="0" fontId="1" fillId="0" borderId="21" xfId="0" applyFont="1" applyBorder="1" applyAlignment="1"/>
    <xf numFmtId="167" fontId="1" fillId="0" borderId="19" xfId="0" applyNumberFormat="1" applyFont="1" applyBorder="1" applyAlignment="1"/>
    <xf numFmtId="0" fontId="4" fillId="0" borderId="16" xfId="0" applyNumberFormat="1" applyFont="1" applyBorder="1" applyAlignment="1"/>
    <xf numFmtId="1" fontId="4" fillId="0" borderId="32" xfId="0" applyNumberFormat="1" applyFont="1" applyBorder="1" applyAlignment="1"/>
    <xf numFmtId="179" fontId="4" fillId="2" borderId="24" xfId="0" applyNumberFormat="1" applyFont="1" applyFill="1" applyBorder="1" applyAlignment="1">
      <alignment horizontal="right"/>
    </xf>
    <xf numFmtId="0" fontId="4" fillId="2" borderId="24" xfId="0" applyNumberFormat="1" applyFont="1" applyFill="1" applyBorder="1" applyAlignment="1">
      <alignment horizontal="right"/>
    </xf>
    <xf numFmtId="175" fontId="4" fillId="2" borderId="25" xfId="0" applyNumberFormat="1" applyFont="1" applyFill="1" applyBorder="1" applyAlignment="1">
      <alignment horizontal="right"/>
    </xf>
    <xf numFmtId="1" fontId="4" fillId="0" borderId="33" xfId="0" applyNumberFormat="1" applyFont="1" applyBorder="1" applyAlignment="1"/>
    <xf numFmtId="179" fontId="4" fillId="2" borderId="27" xfId="0" applyNumberFormat="1" applyFont="1" applyFill="1" applyBorder="1" applyAlignment="1">
      <alignment horizontal="right"/>
    </xf>
    <xf numFmtId="0" fontId="4" fillId="2" borderId="27" xfId="0" applyNumberFormat="1" applyFont="1" applyFill="1" applyBorder="1" applyAlignment="1">
      <alignment horizontal="right"/>
    </xf>
    <xf numFmtId="175" fontId="4" fillId="2" borderId="28" xfId="0" applyNumberFormat="1" applyFont="1" applyFill="1" applyBorder="1" applyAlignment="1">
      <alignment horizontal="left"/>
    </xf>
    <xf numFmtId="0" fontId="4" fillId="2" borderId="34" xfId="0" applyNumberFormat="1" applyFont="1" applyFill="1" applyBorder="1" applyAlignment="1">
      <alignment horizontal="center"/>
    </xf>
    <xf numFmtId="1" fontId="4" fillId="2" borderId="34" xfId="0" applyNumberFormat="1" applyFont="1" applyFill="1" applyBorder="1" applyAlignment="1">
      <alignment horizontal="center"/>
    </xf>
    <xf numFmtId="179" fontId="1" fillId="0" borderId="5" xfId="0" applyNumberFormat="1" applyFont="1" applyBorder="1" applyAlignment="1"/>
    <xf numFmtId="177" fontId="1" fillId="0" borderId="18" xfId="0" applyNumberFormat="1" applyFont="1" applyBorder="1" applyAlignment="1">
      <alignment horizontal="right"/>
    </xf>
    <xf numFmtId="0" fontId="1" fillId="0" borderId="33" xfId="0" applyFont="1" applyBorder="1" applyAlignment="1"/>
    <xf numFmtId="167" fontId="1" fillId="0" borderId="21" xfId="0" applyNumberFormat="1" applyFont="1" applyBorder="1" applyAlignment="1">
      <alignment horizontal="right"/>
    </xf>
    <xf numFmtId="0" fontId="1" fillId="0" borderId="35" xfId="0" applyNumberFormat="1" applyFont="1" applyBorder="1" applyAlignment="1">
      <alignment horizontal="right"/>
    </xf>
    <xf numFmtId="168" fontId="1" fillId="0" borderId="36" xfId="0" applyNumberFormat="1" applyFont="1" applyBorder="1" applyAlignment="1">
      <alignment horizontal="right"/>
    </xf>
    <xf numFmtId="168" fontId="1" fillId="0" borderId="14" xfId="0" applyNumberFormat="1" applyFont="1" applyBorder="1" applyAlignment="1"/>
    <xf numFmtId="175" fontId="1" fillId="0" borderId="15" xfId="0" applyNumberFormat="1" applyFont="1" applyBorder="1" applyAlignment="1"/>
    <xf numFmtId="168" fontId="1" fillId="0" borderId="5" xfId="0" applyNumberFormat="1" applyFont="1" applyBorder="1" applyAlignment="1">
      <alignment horizontal="right"/>
    </xf>
    <xf numFmtId="0" fontId="1" fillId="0" borderId="5" xfId="0" applyNumberFormat="1" applyFont="1" applyBorder="1" applyAlignment="1">
      <alignment horizontal="right"/>
    </xf>
    <xf numFmtId="175" fontId="4" fillId="0" borderId="37" xfId="0" applyNumberFormat="1" applyFont="1" applyBorder="1" applyAlignment="1">
      <alignment horizontal="right"/>
    </xf>
    <xf numFmtId="1" fontId="8" fillId="0" borderId="5" xfId="0" applyNumberFormat="1" applyFont="1" applyBorder="1" applyAlignment="1"/>
    <xf numFmtId="38" fontId="1" fillId="0" borderId="5" xfId="0" applyNumberFormat="1" applyFont="1" applyBorder="1" applyAlignment="1"/>
    <xf numFmtId="175" fontId="4" fillId="0" borderId="21" xfId="0" applyNumberFormat="1" applyFont="1" applyBorder="1" applyAlignment="1">
      <alignment horizontal="right"/>
    </xf>
    <xf numFmtId="167" fontId="1" fillId="0" borderId="21" xfId="0" applyNumberFormat="1" applyFont="1" applyBorder="1" applyAlignment="1"/>
    <xf numFmtId="167" fontId="1" fillId="0" borderId="15" xfId="0" applyNumberFormat="1" applyFont="1" applyBorder="1" applyAlignment="1"/>
    <xf numFmtId="3" fontId="1" fillId="0" borderId="5" xfId="0" applyNumberFormat="1" applyFont="1" applyBorder="1" applyAlignment="1">
      <alignment horizontal="center"/>
    </xf>
    <xf numFmtId="167" fontId="1" fillId="0" borderId="20" xfId="0" applyNumberFormat="1" applyFont="1" applyBorder="1" applyAlignment="1"/>
    <xf numFmtId="167" fontId="4" fillId="2" borderId="34" xfId="0" applyNumberFormat="1" applyFont="1" applyFill="1" applyBorder="1" applyAlignment="1">
      <alignment horizontal="right"/>
    </xf>
    <xf numFmtId="167" fontId="1" fillId="0" borderId="18" xfId="0" applyNumberFormat="1" applyFont="1" applyBorder="1" applyAlignment="1">
      <alignment horizontal="right"/>
    </xf>
    <xf numFmtId="0" fontId="4" fillId="0" borderId="38" xfId="0" applyNumberFormat="1" applyFont="1" applyBorder="1" applyAlignment="1"/>
    <xf numFmtId="1" fontId="4" fillId="0" borderId="8" xfId="0" applyNumberFormat="1" applyFont="1" applyBorder="1" applyAlignment="1"/>
    <xf numFmtId="168" fontId="1" fillId="0" borderId="8" xfId="0" applyNumberFormat="1" applyFont="1" applyBorder="1" applyAlignment="1">
      <alignment horizontal="right"/>
    </xf>
    <xf numFmtId="0" fontId="1" fillId="0" borderId="8" xfId="0" applyNumberFormat="1" applyFont="1" applyBorder="1" applyAlignment="1">
      <alignment horizontal="right"/>
    </xf>
    <xf numFmtId="175" fontId="4" fillId="0" borderId="39" xfId="0" applyNumberFormat="1" applyFont="1" applyBorder="1" applyAlignment="1">
      <alignment horizontal="right"/>
    </xf>
    <xf numFmtId="180" fontId="1" fillId="0" borderId="5" xfId="0" applyNumberFormat="1" applyFont="1" applyBorder="1" applyAlignment="1">
      <alignment horizontal="center"/>
    </xf>
    <xf numFmtId="0" fontId="4" fillId="0" borderId="40" xfId="0" applyNumberFormat="1" applyFont="1" applyBorder="1" applyAlignment="1">
      <alignment horizontal="right"/>
    </xf>
    <xf numFmtId="1" fontId="4" fillId="0" borderId="41" xfId="0" applyNumberFormat="1" applyFont="1" applyBorder="1" applyAlignment="1">
      <alignment horizontal="right"/>
    </xf>
    <xf numFmtId="173" fontId="4" fillId="2" borderId="42" xfId="0" applyNumberFormat="1" applyFont="1" applyFill="1" applyBorder="1" applyAlignment="1"/>
    <xf numFmtId="0" fontId="4" fillId="2" borderId="42" xfId="0" applyNumberFormat="1" applyFont="1" applyFill="1" applyBorder="1" applyAlignment="1">
      <alignment horizontal="right"/>
    </xf>
    <xf numFmtId="175" fontId="4" fillId="2" borderId="43" xfId="0" applyNumberFormat="1" applyFont="1" applyFill="1" applyBorder="1" applyAlignment="1"/>
    <xf numFmtId="168" fontId="1" fillId="0" borderId="44" xfId="0" applyNumberFormat="1" applyFont="1" applyBorder="1" applyAlignment="1"/>
    <xf numFmtId="1" fontId="1" fillId="0" borderId="38" xfId="0" applyNumberFormat="1" applyFont="1" applyBorder="1" applyAlignment="1"/>
    <xf numFmtId="175" fontId="1" fillId="0" borderId="8" xfId="0" applyNumberFormat="1" applyFont="1" applyBorder="1" applyAlignment="1"/>
    <xf numFmtId="167" fontId="1" fillId="0" borderId="39" xfId="0" applyNumberFormat="1" applyFont="1" applyBorder="1" applyAlignment="1">
      <alignment horizontal="right"/>
    </xf>
    <xf numFmtId="1" fontId="4" fillId="0" borderId="45" xfId="0" applyNumberFormat="1" applyFont="1" applyBorder="1" applyAlignment="1">
      <alignment horizontal="right"/>
    </xf>
    <xf numFmtId="1" fontId="4" fillId="0" borderId="46" xfId="0" applyNumberFormat="1" applyFont="1" applyBorder="1" applyAlignment="1">
      <alignment horizontal="right"/>
    </xf>
    <xf numFmtId="10" fontId="1" fillId="0" borderId="46" xfId="0" applyNumberFormat="1" applyFont="1" applyBorder="1" applyAlignment="1">
      <alignment horizontal="right"/>
    </xf>
    <xf numFmtId="10" fontId="1" fillId="0" borderId="46" xfId="0" applyNumberFormat="1" applyFont="1" applyBorder="1" applyAlignment="1">
      <alignment horizontal="left"/>
    </xf>
    <xf numFmtId="175" fontId="1" fillId="0" borderId="47" xfId="0" applyNumberFormat="1" applyFont="1" applyBorder="1" applyAlignment="1"/>
    <xf numFmtId="1" fontId="1" fillId="0" borderId="48" xfId="0" applyNumberFormat="1" applyFont="1" applyBorder="1" applyAlignment="1"/>
    <xf numFmtId="0" fontId="4" fillId="2" borderId="49" xfId="0" applyNumberFormat="1" applyFont="1" applyFill="1" applyBorder="1" applyAlignment="1"/>
    <xf numFmtId="1" fontId="4" fillId="2" borderId="50" xfId="0" applyNumberFormat="1" applyFont="1" applyFill="1" applyBorder="1" applyAlignment="1"/>
    <xf numFmtId="167" fontId="4" fillId="2" borderId="51" xfId="0" applyNumberFormat="1" applyFont="1" applyFill="1" applyBorder="1" applyAlignment="1">
      <alignment horizontal="right"/>
    </xf>
    <xf numFmtId="38" fontId="1" fillId="0" borderId="5" xfId="0" applyNumberFormat="1" applyFont="1" applyBorder="1" applyAlignment="1">
      <alignment horizontal="right"/>
    </xf>
    <xf numFmtId="0" fontId="4" fillId="0" borderId="40" xfId="0" applyNumberFormat="1" applyFont="1" applyBorder="1" applyAlignment="1"/>
    <xf numFmtId="1" fontId="4" fillId="0" borderId="41" xfId="0" applyNumberFormat="1" applyFont="1" applyBorder="1" applyAlignment="1"/>
    <xf numFmtId="173" fontId="4" fillId="2" borderId="42" xfId="0" applyNumberFormat="1" applyFont="1" applyFill="1" applyBorder="1" applyAlignment="1">
      <alignment horizontal="right"/>
    </xf>
    <xf numFmtId="175" fontId="4" fillId="3" borderId="52" xfId="0" applyNumberFormat="1" applyFont="1" applyFill="1" applyBorder="1" applyAlignment="1">
      <alignment horizontal="right"/>
    </xf>
    <xf numFmtId="168" fontId="1" fillId="0" borderId="34" xfId="0" applyNumberFormat="1" applyFont="1" applyBorder="1" applyAlignment="1"/>
    <xf numFmtId="0" fontId="4" fillId="0" borderId="11" xfId="0" applyNumberFormat="1" applyFont="1" applyBorder="1" applyAlignment="1"/>
    <xf numFmtId="10" fontId="4" fillId="0" borderId="12" xfId="0" applyNumberFormat="1" applyFont="1" applyBorder="1" applyAlignment="1"/>
    <xf numFmtId="171" fontId="1" fillId="0" borderId="5" xfId="0" applyNumberFormat="1" applyFont="1" applyBorder="1" applyAlignment="1"/>
    <xf numFmtId="38" fontId="4" fillId="0" borderId="5" xfId="0" applyNumberFormat="1" applyFont="1" applyBorder="1" applyAlignment="1">
      <alignment horizontal="right"/>
    </xf>
    <xf numFmtId="38" fontId="4" fillId="0" borderId="5" xfId="0" applyNumberFormat="1" applyFont="1" applyBorder="1" applyAlignment="1">
      <alignment horizontal="left"/>
    </xf>
    <xf numFmtId="1" fontId="1" fillId="0" borderId="53" xfId="0" applyNumberFormat="1" applyFont="1" applyBorder="1" applyAlignment="1"/>
    <xf numFmtId="1" fontId="1" fillId="0" borderId="10" xfId="0" applyNumberFormat="1" applyFont="1" applyBorder="1" applyAlignment="1"/>
    <xf numFmtId="1" fontId="1" fillId="0" borderId="10" xfId="0" applyNumberFormat="1" applyFont="1" applyBorder="1" applyAlignment="1">
      <alignment horizontal="right"/>
    </xf>
    <xf numFmtId="1" fontId="1" fillId="0" borderId="54" xfId="0" applyNumberFormat="1" applyFont="1" applyBorder="1" applyAlignment="1">
      <alignment horizontal="right"/>
    </xf>
    <xf numFmtId="0" fontId="1" fillId="0" borderId="55" xfId="0" applyFont="1" applyBorder="1" applyAlignment="1"/>
    <xf numFmtId="0" fontId="1" fillId="0" borderId="56" xfId="0" applyFont="1" applyBorder="1" applyAlignment="1"/>
    <xf numFmtId="0" fontId="1" fillId="0" borderId="57" xfId="0" applyFont="1" applyBorder="1" applyAlignment="1"/>
    <xf numFmtId="0" fontId="1" fillId="0" borderId="58" xfId="0" applyFont="1" applyBorder="1" applyAlignment="1"/>
    <xf numFmtId="1" fontId="1" fillId="0" borderId="59" xfId="0" applyNumberFormat="1" applyFont="1" applyBorder="1" applyAlignment="1"/>
    <xf numFmtId="1" fontId="4" fillId="0" borderId="60" xfId="0" applyNumberFormat="1" applyFont="1" applyBorder="1" applyAlignment="1">
      <alignment horizontal="center"/>
    </xf>
    <xf numFmtId="0" fontId="9" fillId="0" borderId="61" xfId="0" applyNumberFormat="1" applyFont="1" applyBorder="1" applyAlignment="1">
      <alignment horizontal="center"/>
    </xf>
    <xf numFmtId="0" fontId="9" fillId="0" borderId="62" xfId="0" applyNumberFormat="1" applyFont="1" applyBorder="1" applyAlignment="1">
      <alignment horizontal="center"/>
    </xf>
    <xf numFmtId="175" fontId="1" fillId="0" borderId="17" xfId="0" applyNumberFormat="1" applyFont="1" applyBorder="1" applyAlignment="1">
      <alignment horizontal="right"/>
    </xf>
    <xf numFmtId="1" fontId="1" fillId="0" borderId="17" xfId="0" applyNumberFormat="1" applyFont="1" applyBorder="1" applyAlignment="1">
      <alignment horizontal="left"/>
    </xf>
    <xf numFmtId="167" fontId="4" fillId="0" borderId="58" xfId="0" applyNumberFormat="1" applyFont="1" applyBorder="1" applyAlignment="1"/>
    <xf numFmtId="0" fontId="4" fillId="0" borderId="63" xfId="0" applyNumberFormat="1" applyFont="1" applyBorder="1" applyAlignment="1"/>
    <xf numFmtId="175" fontId="4" fillId="0" borderId="64" xfId="0" applyNumberFormat="1" applyFont="1" applyBorder="1" applyAlignment="1">
      <alignment horizontal="left"/>
    </xf>
    <xf numFmtId="175" fontId="4" fillId="0" borderId="65" xfId="0" applyNumberFormat="1" applyFont="1" applyBorder="1" applyAlignment="1"/>
    <xf numFmtId="175" fontId="4" fillId="0" borderId="66" xfId="0" applyNumberFormat="1" applyFont="1" applyBorder="1" applyAlignment="1"/>
    <xf numFmtId="167" fontId="4" fillId="0" borderId="65" xfId="0" applyNumberFormat="1" applyFont="1" applyBorder="1" applyAlignment="1"/>
    <xf numFmtId="167" fontId="4" fillId="0" borderId="66" xfId="0" applyNumberFormat="1" applyFont="1" applyBorder="1" applyAlignment="1"/>
    <xf numFmtId="167" fontId="4" fillId="0" borderId="67" xfId="0" applyNumberFormat="1" applyFont="1" applyBorder="1" applyAlignment="1"/>
    <xf numFmtId="1" fontId="9" fillId="0" borderId="5" xfId="0" applyNumberFormat="1" applyFont="1" applyBorder="1" applyAlignment="1">
      <alignment horizontal="center"/>
    </xf>
    <xf numFmtId="175" fontId="1" fillId="0" borderId="5" xfId="0" applyNumberFormat="1" applyFont="1" applyBorder="1" applyAlignment="1">
      <alignment horizontal="right"/>
    </xf>
    <xf numFmtId="1" fontId="1" fillId="0" borderId="58" xfId="0" applyNumberFormat="1" applyFont="1" applyBorder="1" applyAlignment="1"/>
    <xf numFmtId="1" fontId="4" fillId="0" borderId="66" xfId="0" applyNumberFormat="1" applyFont="1" applyBorder="1" applyAlignment="1"/>
    <xf numFmtId="168" fontId="4" fillId="3" borderId="68" xfId="0" applyNumberFormat="1" applyFont="1" applyFill="1" applyBorder="1" applyAlignment="1">
      <alignment horizontal="center"/>
    </xf>
    <xf numFmtId="10" fontId="1" fillId="0" borderId="65" xfId="0" applyNumberFormat="1" applyFont="1" applyBorder="1" applyAlignment="1"/>
    <xf numFmtId="10" fontId="1" fillId="0" borderId="69" xfId="0" applyNumberFormat="1" applyFont="1" applyBorder="1" applyAlignment="1"/>
    <xf numFmtId="10" fontId="1" fillId="0" borderId="67" xfId="0" applyNumberFormat="1" applyFont="1" applyBorder="1" applyAlignment="1"/>
    <xf numFmtId="10" fontId="1" fillId="0" borderId="70" xfId="0" applyNumberFormat="1" applyFont="1" applyBorder="1" applyAlignment="1"/>
    <xf numFmtId="175" fontId="1" fillId="0" borderId="5" xfId="0" applyNumberFormat="1" applyFont="1" applyBorder="1" applyAlignment="1"/>
    <xf numFmtId="1" fontId="4" fillId="0" borderId="58" xfId="0" applyNumberFormat="1" applyFont="1" applyBorder="1" applyAlignment="1"/>
    <xf numFmtId="175" fontId="4" fillId="0" borderId="65" xfId="0" applyNumberFormat="1" applyFont="1" applyBorder="1" applyAlignment="1">
      <alignment horizontal="left"/>
    </xf>
    <xf numFmtId="1" fontId="1" fillId="0" borderId="67" xfId="0" applyNumberFormat="1" applyFont="1" applyBorder="1" applyAlignment="1"/>
    <xf numFmtId="167" fontId="1" fillId="0" borderId="5" xfId="0" applyNumberFormat="1" applyFont="1" applyBorder="1" applyAlignment="1">
      <alignment horizontal="right"/>
    </xf>
    <xf numFmtId="175" fontId="4" fillId="0" borderId="71" xfId="0" applyNumberFormat="1" applyFont="1" applyBorder="1" applyAlignment="1">
      <alignment horizontal="center"/>
    </xf>
    <xf numFmtId="0" fontId="4" fillId="0" borderId="67" xfId="0" applyNumberFormat="1" applyFont="1" applyBorder="1" applyAlignment="1"/>
    <xf numFmtId="0" fontId="4" fillId="0" borderId="72" xfId="0" applyNumberFormat="1" applyFont="1" applyBorder="1" applyAlignment="1">
      <alignment horizontal="left"/>
    </xf>
    <xf numFmtId="175" fontId="4" fillId="0" borderId="70" xfId="0" applyNumberFormat="1" applyFont="1" applyBorder="1" applyAlignment="1"/>
    <xf numFmtId="175" fontId="4" fillId="0" borderId="67" xfId="0" applyNumberFormat="1" applyFont="1" applyBorder="1" applyAlignment="1"/>
    <xf numFmtId="1" fontId="1" fillId="0" borderId="66" xfId="0" applyNumberFormat="1" applyFont="1" applyBorder="1" applyAlignment="1"/>
    <xf numFmtId="175" fontId="4" fillId="0" borderId="5" xfId="0" applyNumberFormat="1" applyFont="1" applyBorder="1" applyAlignment="1"/>
    <xf numFmtId="181" fontId="1" fillId="0" borderId="5" xfId="0" applyNumberFormat="1" applyFont="1" applyBorder="1" applyAlignment="1">
      <alignment horizontal="right"/>
    </xf>
    <xf numFmtId="1" fontId="4" fillId="0" borderId="62" xfId="0" applyNumberFormat="1" applyFont="1" applyBorder="1" applyAlignment="1"/>
    <xf numFmtId="0" fontId="1" fillId="0" borderId="62" xfId="0" applyFont="1" applyBorder="1" applyAlignment="1"/>
    <xf numFmtId="175" fontId="4" fillId="0" borderId="5" xfId="0" applyNumberFormat="1" applyFont="1" applyBorder="1" applyAlignment="1">
      <alignment horizontal="center"/>
    </xf>
    <xf numFmtId="173" fontId="1" fillId="0" borderId="5" xfId="0" applyNumberFormat="1" applyFont="1" applyBorder="1" applyAlignment="1"/>
    <xf numFmtId="0" fontId="1" fillId="0" borderId="19" xfId="0" applyFont="1" applyBorder="1" applyAlignment="1"/>
    <xf numFmtId="175" fontId="1" fillId="0" borderId="19" xfId="0" applyNumberFormat="1" applyFont="1" applyBorder="1" applyAlignment="1"/>
    <xf numFmtId="0" fontId="1" fillId="0" borderId="22" xfId="0" applyNumberFormat="1" applyFont="1" applyBorder="1" applyAlignment="1"/>
    <xf numFmtId="167" fontId="1" fillId="0" borderId="19" xfId="0" applyNumberFormat="1" applyFont="1" applyBorder="1" applyAlignment="1">
      <alignment horizontal="right"/>
    </xf>
    <xf numFmtId="0" fontId="1" fillId="0" borderId="19" xfId="0" applyNumberFormat="1" applyFont="1" applyBorder="1" applyAlignment="1">
      <alignment horizontal="left"/>
    </xf>
    <xf numFmtId="167" fontId="1" fillId="0" borderId="20" xfId="0" applyNumberFormat="1" applyFont="1" applyBorder="1" applyAlignment="1">
      <alignment horizontal="right"/>
    </xf>
    <xf numFmtId="1" fontId="1" fillId="2" borderId="73" xfId="0" applyNumberFormat="1" applyFont="1" applyFill="1" applyBorder="1" applyAlignment="1"/>
    <xf numFmtId="0" fontId="9" fillId="2" borderId="74" xfId="0" applyNumberFormat="1" applyFont="1" applyFill="1" applyBorder="1" applyAlignment="1">
      <alignment horizontal="center"/>
    </xf>
    <xf numFmtId="0" fontId="9" fillId="2" borderId="75" xfId="0" applyNumberFormat="1" applyFont="1" applyFill="1" applyBorder="1" applyAlignment="1">
      <alignment horizontal="center"/>
    </xf>
    <xf numFmtId="165" fontId="1" fillId="0" borderId="15" xfId="0" applyNumberFormat="1" applyFont="1" applyBorder="1" applyAlignment="1"/>
    <xf numFmtId="0" fontId="4" fillId="2" borderId="76" xfId="0" applyNumberFormat="1" applyFont="1" applyFill="1" applyBorder="1" applyAlignment="1"/>
    <xf numFmtId="165" fontId="1" fillId="2" borderId="76" xfId="0" applyNumberFormat="1" applyFont="1" applyFill="1" applyBorder="1" applyAlignment="1"/>
    <xf numFmtId="1" fontId="9" fillId="0" borderId="15" xfId="0" applyNumberFormat="1" applyFont="1" applyBorder="1" applyAlignment="1">
      <alignment horizontal="center"/>
    </xf>
    <xf numFmtId="175" fontId="1" fillId="0" borderId="14" xfId="0" applyNumberFormat="1" applyFont="1" applyBorder="1" applyAlignment="1">
      <alignment horizontal="left"/>
    </xf>
    <xf numFmtId="0" fontId="4" fillId="2" borderId="77" xfId="0" applyNumberFormat="1" applyFont="1" applyFill="1" applyBorder="1" applyAlignment="1"/>
    <xf numFmtId="165" fontId="1" fillId="2" borderId="77" xfId="0" applyNumberFormat="1" applyFont="1" applyFill="1" applyBorder="1" applyAlignment="1"/>
    <xf numFmtId="1" fontId="4" fillId="2" borderId="78" xfId="0" applyNumberFormat="1" applyFont="1" applyFill="1" applyBorder="1" applyAlignment="1"/>
    <xf numFmtId="165" fontId="1" fillId="2" borderId="78" xfId="0" applyNumberFormat="1" applyFont="1" applyFill="1" applyBorder="1" applyAlignment="1"/>
    <xf numFmtId="0" fontId="1" fillId="0" borderId="38" xfId="0" applyNumberFormat="1" applyFont="1" applyBorder="1" applyAlignment="1"/>
    <xf numFmtId="1" fontId="1" fillId="0" borderId="8" xfId="0" applyNumberFormat="1" applyFont="1" applyBorder="1" applyAlignment="1"/>
    <xf numFmtId="9" fontId="1" fillId="0" borderId="8" xfId="0" applyNumberFormat="1" applyFont="1" applyBorder="1" applyAlignment="1">
      <alignment horizontal="right"/>
    </xf>
    <xf numFmtId="167" fontId="1" fillId="0" borderId="14" xfId="0" applyNumberFormat="1" applyFont="1" applyBorder="1" applyAlignment="1"/>
    <xf numFmtId="0" fontId="1" fillId="0" borderId="45" xfId="0" applyNumberFormat="1" applyFont="1" applyBorder="1" applyAlignment="1">
      <alignment horizontal="right"/>
    </xf>
    <xf numFmtId="1" fontId="1" fillId="0" borderId="46" xfId="0" applyNumberFormat="1" applyFont="1" applyBorder="1" applyAlignment="1">
      <alignment horizontal="right"/>
    </xf>
    <xf numFmtId="168" fontId="1" fillId="0" borderId="46" xfId="0" applyNumberFormat="1" applyFont="1" applyBorder="1" applyAlignment="1">
      <alignment horizontal="right"/>
    </xf>
    <xf numFmtId="167" fontId="1" fillId="0" borderId="47" xfId="0" applyNumberFormat="1" applyFont="1" applyBorder="1" applyAlignment="1">
      <alignment horizontal="right"/>
    </xf>
    <xf numFmtId="0" fontId="4" fillId="2" borderId="78" xfId="0" applyNumberFormat="1" applyFont="1" applyFill="1" applyBorder="1" applyAlignment="1"/>
    <xf numFmtId="0" fontId="1" fillId="0" borderId="79" xfId="0" applyNumberFormat="1" applyFont="1" applyBorder="1" applyAlignment="1">
      <alignment horizontal="right"/>
    </xf>
    <xf numFmtId="1" fontId="1" fillId="0" borderId="2" xfId="0" applyNumberFormat="1" applyFont="1" applyBorder="1" applyAlignment="1">
      <alignment horizontal="right"/>
    </xf>
    <xf numFmtId="167" fontId="1" fillId="0" borderId="80" xfId="0" applyNumberFormat="1" applyFont="1" applyBorder="1" applyAlignment="1">
      <alignment horizontal="right"/>
    </xf>
    <xf numFmtId="179" fontId="1" fillId="0" borderId="21" xfId="0" applyNumberFormat="1" applyFont="1" applyBorder="1" applyAlignment="1">
      <alignment horizontal="right"/>
    </xf>
    <xf numFmtId="168" fontId="1" fillId="2" borderId="78" xfId="0" applyNumberFormat="1" applyFont="1" applyFill="1" applyBorder="1" applyAlignment="1"/>
    <xf numFmtId="0" fontId="1" fillId="0" borderId="8" xfId="0" applyFont="1" applyBorder="1" applyAlignment="1"/>
    <xf numFmtId="0" fontId="4" fillId="2" borderId="34" xfId="0" applyNumberFormat="1" applyFont="1" applyFill="1" applyBorder="1" applyAlignment="1"/>
    <xf numFmtId="182" fontId="4" fillId="2" borderId="34" xfId="0" applyNumberFormat="1" applyFont="1" applyFill="1" applyBorder="1" applyAlignment="1"/>
    <xf numFmtId="182" fontId="1" fillId="2" borderId="34" xfId="0" applyNumberFormat="1" applyFont="1" applyFill="1" applyBorder="1" applyAlignment="1"/>
    <xf numFmtId="168" fontId="1" fillId="0" borderId="15" xfId="0" applyNumberFormat="1" applyFont="1" applyBorder="1" applyAlignment="1"/>
    <xf numFmtId="168" fontId="1" fillId="0" borderId="5" xfId="0" applyNumberFormat="1" applyFont="1" applyBorder="1" applyAlignment="1"/>
    <xf numFmtId="1" fontId="4" fillId="0" borderId="46" xfId="0" applyNumberFormat="1" applyFont="1" applyBorder="1" applyAlignment="1"/>
    <xf numFmtId="175" fontId="4" fillId="0" borderId="81" xfId="0" applyNumberFormat="1" applyFont="1" applyBorder="1" applyAlignment="1">
      <alignment horizontal="right"/>
    </xf>
    <xf numFmtId="0" fontId="1" fillId="0" borderId="12" xfId="0" applyNumberFormat="1" applyFont="1" applyBorder="1" applyAlignment="1"/>
    <xf numFmtId="165" fontId="1" fillId="0" borderId="12" xfId="0" applyNumberFormat="1" applyFont="1" applyBorder="1" applyAlignment="1"/>
    <xf numFmtId="165" fontId="1" fillId="0" borderId="13" xfId="0" applyNumberFormat="1" applyFont="1" applyBorder="1" applyAlignment="1"/>
    <xf numFmtId="182" fontId="1" fillId="0" borderId="15" xfId="0" applyNumberFormat="1" applyFont="1" applyBorder="1" applyAlignment="1"/>
    <xf numFmtId="182" fontId="1" fillId="0" borderId="5" xfId="0" applyNumberFormat="1" applyFont="1" applyBorder="1" applyAlignment="1"/>
    <xf numFmtId="166" fontId="1" fillId="2" borderId="34" xfId="0" applyNumberFormat="1" applyFont="1" applyFill="1" applyBorder="1" applyAlignment="1"/>
    <xf numFmtId="1" fontId="1" fillId="2" borderId="76" xfId="0" applyNumberFormat="1" applyFont="1" applyFill="1" applyBorder="1" applyAlignment="1"/>
    <xf numFmtId="1" fontId="1" fillId="2" borderId="23" xfId="0" applyNumberFormat="1" applyFont="1" applyFill="1" applyBorder="1" applyAlignment="1"/>
    <xf numFmtId="1" fontId="1" fillId="2" borderId="24" xfId="0" applyNumberFormat="1" applyFont="1" applyFill="1" applyBorder="1" applyAlignment="1"/>
    <xf numFmtId="1" fontId="1" fillId="2" borderId="25" xfId="0" applyNumberFormat="1" applyFont="1" applyFill="1" applyBorder="1" applyAlignment="1"/>
    <xf numFmtId="166" fontId="4" fillId="0" borderId="15" xfId="0" applyNumberFormat="1" applyFont="1" applyBorder="1" applyAlignment="1"/>
    <xf numFmtId="166" fontId="4" fillId="0" borderId="5" xfId="0" applyNumberFormat="1" applyFont="1" applyBorder="1" applyAlignment="1"/>
    <xf numFmtId="1" fontId="1" fillId="2" borderId="78" xfId="0" applyNumberFormat="1" applyFont="1" applyFill="1" applyBorder="1" applyAlignment="1"/>
    <xf numFmtId="1" fontId="1" fillId="2" borderId="29" xfId="0" applyNumberFormat="1" applyFont="1" applyFill="1" applyBorder="1" applyAlignment="1"/>
    <xf numFmtId="1" fontId="1" fillId="2" borderId="30" xfId="0" applyNumberFormat="1" applyFont="1" applyFill="1" applyBorder="1" applyAlignment="1"/>
    <xf numFmtId="1" fontId="1" fillId="2" borderId="31" xfId="0" applyNumberFormat="1" applyFont="1" applyFill="1" applyBorder="1" applyAlignment="1"/>
    <xf numFmtId="168" fontId="4" fillId="0" borderId="16" xfId="0" applyNumberFormat="1" applyFont="1" applyBorder="1" applyAlignment="1"/>
    <xf numFmtId="168" fontId="4" fillId="0" borderId="17" xfId="0" applyNumberFormat="1" applyFont="1" applyBorder="1" applyAlignment="1"/>
    <xf numFmtId="0" fontId="1" fillId="0" borderId="17" xfId="0" applyFont="1" applyBorder="1" applyAlignment="1"/>
    <xf numFmtId="0" fontId="1" fillId="0" borderId="18" xfId="0" applyFont="1" applyBorder="1" applyAlignment="1"/>
    <xf numFmtId="1" fontId="4" fillId="0" borderId="12" xfId="0" applyNumberFormat="1" applyFont="1" applyBorder="1" applyAlignment="1"/>
    <xf numFmtId="1" fontId="4" fillId="0" borderId="19" xfId="0" applyNumberFormat="1" applyFont="1" applyBorder="1" applyAlignment="1">
      <alignment horizontal="right"/>
    </xf>
    <xf numFmtId="165" fontId="1" fillId="0" borderId="19" xfId="0" applyNumberFormat="1" applyFont="1" applyBorder="1" applyAlignment="1"/>
    <xf numFmtId="1" fontId="1" fillId="0" borderId="13" xfId="0" applyNumberFormat="1" applyFont="1" applyBorder="1" applyAlignment="1"/>
    <xf numFmtId="0" fontId="4" fillId="0" borderId="16" xfId="0" applyNumberFormat="1" applyFont="1" applyBorder="1" applyAlignment="1">
      <alignment horizontal="left"/>
    </xf>
    <xf numFmtId="1" fontId="1" fillId="0" borderId="18" xfId="0" applyNumberFormat="1" applyFont="1" applyBorder="1" applyAlignment="1"/>
    <xf numFmtId="38" fontId="1" fillId="0" borderId="15" xfId="0" applyNumberFormat="1" applyFont="1" applyBorder="1" applyAlignment="1">
      <alignment horizontal="center"/>
    </xf>
    <xf numFmtId="165" fontId="1" fillId="0" borderId="21" xfId="0" applyNumberFormat="1" applyFont="1" applyBorder="1" applyAlignment="1"/>
    <xf numFmtId="167" fontId="1" fillId="0" borderId="22" xfId="0" applyNumberFormat="1" applyFont="1" applyBorder="1" applyAlignment="1">
      <alignment horizontal="center"/>
    </xf>
    <xf numFmtId="168" fontId="1" fillId="0" borderId="19" xfId="0" applyNumberFormat="1" applyFont="1" applyBorder="1" applyAlignment="1"/>
    <xf numFmtId="168" fontId="1" fillId="0" borderId="20" xfId="0" applyNumberFormat="1" applyFont="1" applyBorder="1" applyAlignment="1"/>
    <xf numFmtId="0" fontId="10" fillId="0" borderId="5" xfId="0" applyNumberFormat="1" applyFont="1" applyBorder="1" applyAlignment="1"/>
    <xf numFmtId="0" fontId="1" fillId="0" borderId="0" xfId="0" applyNumberFormat="1" applyFont="1" applyAlignment="1"/>
    <xf numFmtId="1" fontId="1" fillId="0" borderId="4" xfId="0" applyNumberFormat="1" applyFont="1" applyBorder="1" applyAlignment="1"/>
    <xf numFmtId="175" fontId="1" fillId="0" borderId="6" xfId="0" applyNumberFormat="1" applyFont="1" applyBorder="1" applyAlignment="1"/>
    <xf numFmtId="0" fontId="4" fillId="0" borderId="82" xfId="0" applyNumberFormat="1" applyFont="1" applyBorder="1" applyAlignment="1">
      <alignment horizontal="left" vertical="center"/>
    </xf>
    <xf numFmtId="1" fontId="4" fillId="0" borderId="10" xfId="0" applyNumberFormat="1" applyFont="1" applyBorder="1" applyAlignment="1">
      <alignment horizontal="left" vertical="center"/>
    </xf>
    <xf numFmtId="179" fontId="11" fillId="0" borderId="10" xfId="0" applyNumberFormat="1" applyFont="1" applyBorder="1" applyAlignment="1"/>
    <xf numFmtId="0" fontId="1" fillId="0" borderId="83" xfId="0" applyNumberFormat="1" applyFont="1" applyBorder="1" applyAlignment="1"/>
    <xf numFmtId="175" fontId="4" fillId="3" borderId="84" xfId="0" applyNumberFormat="1" applyFont="1" applyFill="1" applyBorder="1" applyAlignment="1"/>
    <xf numFmtId="0" fontId="4" fillId="2" borderId="85" xfId="0" applyNumberFormat="1" applyFont="1" applyFill="1" applyBorder="1" applyAlignment="1"/>
    <xf numFmtId="1" fontId="4" fillId="2" borderId="75" xfId="0" applyNumberFormat="1" applyFont="1" applyFill="1" applyBorder="1" applyAlignment="1"/>
    <xf numFmtId="1" fontId="1" fillId="0" borderId="11" xfId="0" applyNumberFormat="1" applyFont="1" applyBorder="1" applyAlignment="1"/>
    <xf numFmtId="1" fontId="1" fillId="0" borderId="12" xfId="0" applyNumberFormat="1" applyFont="1" applyBorder="1" applyAlignment="1"/>
    <xf numFmtId="175" fontId="1" fillId="0" borderId="12" xfId="0" applyNumberFormat="1" applyFont="1" applyBorder="1" applyAlignment="1"/>
    <xf numFmtId="175" fontId="1" fillId="0" borderId="83" xfId="0" applyNumberFormat="1" applyFont="1" applyBorder="1" applyAlignment="1"/>
    <xf numFmtId="1" fontId="4" fillId="0" borderId="86" xfId="0" applyNumberFormat="1" applyFont="1" applyBorder="1" applyAlignment="1">
      <alignment vertical="center"/>
    </xf>
    <xf numFmtId="179" fontId="1" fillId="0" borderId="17" xfId="0" applyNumberFormat="1" applyFont="1" applyBorder="1" applyAlignment="1"/>
    <xf numFmtId="175" fontId="1" fillId="0" borderId="17" xfId="0" applyNumberFormat="1" applyFont="1" applyBorder="1" applyAlignment="1"/>
    <xf numFmtId="175" fontId="1" fillId="0" borderId="87" xfId="0" applyNumberFormat="1" applyFont="1" applyBorder="1" applyAlignment="1"/>
    <xf numFmtId="1" fontId="4" fillId="0" borderId="4" xfId="0" applyNumberFormat="1" applyFont="1" applyBorder="1" applyAlignment="1">
      <alignment vertical="center"/>
    </xf>
    <xf numFmtId="175" fontId="1" fillId="0" borderId="5" xfId="0" applyNumberFormat="1" applyFont="1" applyBorder="1" applyAlignment="1">
      <alignment horizontal="left"/>
    </xf>
    <xf numFmtId="183" fontId="1" fillId="0" borderId="5" xfId="0" applyNumberFormat="1" applyFont="1" applyBorder="1" applyAlignment="1"/>
    <xf numFmtId="0" fontId="1" fillId="0" borderId="88" xfId="0" applyNumberFormat="1" applyFont="1" applyBorder="1" applyAlignment="1"/>
    <xf numFmtId="168" fontId="1" fillId="0" borderId="88" xfId="0" applyNumberFormat="1" applyFont="1" applyBorder="1" applyAlignment="1"/>
    <xf numFmtId="1" fontId="1" fillId="0" borderId="88" xfId="0" applyNumberFormat="1" applyFont="1" applyBorder="1" applyAlignment="1"/>
    <xf numFmtId="173" fontId="1" fillId="0" borderId="88" xfId="0" applyNumberFormat="1" applyFont="1" applyBorder="1" applyAlignment="1"/>
    <xf numFmtId="0" fontId="1" fillId="0" borderId="88" xfId="0" applyFont="1" applyBorder="1" applyAlignment="1"/>
    <xf numFmtId="1" fontId="4" fillId="0" borderId="89" xfId="0" applyNumberFormat="1" applyFont="1" applyBorder="1" applyAlignment="1">
      <alignment vertical="center"/>
    </xf>
    <xf numFmtId="0" fontId="4" fillId="2" borderId="27" xfId="0" applyNumberFormat="1" applyFont="1" applyFill="1" applyBorder="1" applyAlignment="1"/>
    <xf numFmtId="168" fontId="4" fillId="2" borderId="27" xfId="0" applyNumberFormat="1" applyFont="1" applyFill="1" applyBorder="1" applyAlignment="1"/>
    <xf numFmtId="1" fontId="4" fillId="2" borderId="27" xfId="0" applyNumberFormat="1" applyFont="1" applyFill="1" applyBorder="1" applyAlignment="1"/>
    <xf numFmtId="0" fontId="1" fillId="0" borderId="90" xfId="0" applyFont="1" applyBorder="1" applyAlignment="1"/>
    <xf numFmtId="0" fontId="1" fillId="2" borderId="27" xfId="0" applyNumberFormat="1" applyFont="1" applyFill="1" applyBorder="1" applyAlignment="1"/>
    <xf numFmtId="168" fontId="1" fillId="2" borderId="27" xfId="0" applyNumberFormat="1" applyFont="1" applyFill="1" applyBorder="1" applyAlignment="1"/>
    <xf numFmtId="1" fontId="1" fillId="2" borderId="27" xfId="0" applyNumberFormat="1" applyFont="1" applyFill="1" applyBorder="1" applyAlignment="1"/>
    <xf numFmtId="175" fontId="1" fillId="2" borderId="27" xfId="0" applyNumberFormat="1" applyFont="1" applyFill="1" applyBorder="1" applyAlignment="1"/>
    <xf numFmtId="1" fontId="1" fillId="0" borderId="35" xfId="0" applyNumberFormat="1" applyFont="1" applyBorder="1" applyAlignment="1"/>
    <xf numFmtId="0" fontId="1" fillId="0" borderId="35" xfId="0" applyFont="1" applyBorder="1" applyAlignment="1"/>
    <xf numFmtId="175" fontId="1" fillId="0" borderId="9" xfId="0" applyNumberFormat="1" applyFont="1" applyBorder="1" applyAlignment="1"/>
    <xf numFmtId="1" fontId="1" fillId="0" borderId="91" xfId="0" applyNumberFormat="1" applyFont="1" applyBorder="1" applyAlignment="1"/>
    <xf numFmtId="0" fontId="4" fillId="0" borderId="19" xfId="0" applyNumberFormat="1" applyFont="1" applyBorder="1" applyAlignment="1">
      <alignment horizontal="right"/>
    </xf>
    <xf numFmtId="0" fontId="1" fillId="0" borderId="92" xfId="0" applyFont="1" applyBorder="1" applyAlignment="1"/>
    <xf numFmtId="1" fontId="4" fillId="0" borderId="86" xfId="0" applyNumberFormat="1" applyFont="1" applyBorder="1" applyAlignment="1"/>
    <xf numFmtId="10" fontId="1" fillId="0" borderId="17" xfId="0" applyNumberFormat="1" applyFont="1" applyBorder="1" applyAlignment="1"/>
    <xf numFmtId="1" fontId="4" fillId="0" borderId="4" xfId="0" applyNumberFormat="1" applyFont="1" applyBorder="1" applyAlignment="1"/>
    <xf numFmtId="1" fontId="1" fillId="0" borderId="93" xfId="0" applyNumberFormat="1" applyFont="1" applyBorder="1" applyAlignment="1"/>
    <xf numFmtId="0" fontId="1" fillId="0" borderId="32" xfId="0" applyNumberFormat="1" applyFont="1" applyBorder="1" applyAlignment="1"/>
    <xf numFmtId="168" fontId="1" fillId="2" borderId="24" xfId="0" applyNumberFormat="1" applyFont="1" applyFill="1" applyBorder="1" applyAlignment="1"/>
    <xf numFmtId="175" fontId="1" fillId="2" borderId="24" xfId="0" applyNumberFormat="1" applyFont="1" applyFill="1" applyBorder="1" applyAlignment="1"/>
    <xf numFmtId="0" fontId="1" fillId="0" borderId="94" xfId="0" applyFont="1" applyBorder="1" applyAlignment="1"/>
    <xf numFmtId="0" fontId="1" fillId="0" borderId="35" xfId="0" applyNumberFormat="1" applyFont="1" applyBorder="1" applyAlignment="1"/>
    <xf numFmtId="0" fontId="12" fillId="0" borderId="5" xfId="0" applyNumberFormat="1" applyFont="1" applyBorder="1" applyAlignment="1"/>
    <xf numFmtId="1" fontId="4" fillId="0" borderId="91" xfId="0" applyNumberFormat="1" applyFont="1" applyBorder="1" applyAlignment="1"/>
    <xf numFmtId="9" fontId="1" fillId="2" borderId="24" xfId="0" applyNumberFormat="1" applyFont="1" applyFill="1" applyBorder="1" applyAlignment="1"/>
    <xf numFmtId="0" fontId="1" fillId="0" borderId="33" xfId="0" applyNumberFormat="1" applyFont="1" applyBorder="1" applyAlignment="1"/>
    <xf numFmtId="9" fontId="1" fillId="2" borderId="27" xfId="0" applyNumberFormat="1" applyFont="1" applyFill="1" applyBorder="1" applyAlignment="1"/>
    <xf numFmtId="0" fontId="1" fillId="0" borderId="6" xfId="0" applyFont="1" applyBorder="1" applyAlignment="1"/>
    <xf numFmtId="0" fontId="1" fillId="0" borderId="95" xfId="0" applyFont="1" applyBorder="1" applyAlignment="1"/>
    <xf numFmtId="1" fontId="4" fillId="0" borderId="95" xfId="0" applyNumberFormat="1" applyFont="1" applyBorder="1" applyAlignment="1"/>
    <xf numFmtId="175" fontId="1" fillId="0" borderId="81" xfId="0" applyNumberFormat="1" applyFont="1" applyBorder="1" applyAlignment="1"/>
    <xf numFmtId="1" fontId="4" fillId="0" borderId="82" xfId="0" applyNumberFormat="1" applyFont="1" applyBorder="1" applyAlignment="1"/>
    <xf numFmtId="1" fontId="4" fillId="0" borderId="10" xfId="0" applyNumberFormat="1" applyFont="1" applyBorder="1" applyAlignment="1"/>
    <xf numFmtId="175" fontId="1" fillId="0" borderId="10" xfId="0" applyNumberFormat="1" applyFont="1" applyBorder="1" applyAlignment="1"/>
    <xf numFmtId="175" fontId="1" fillId="0" borderId="96" xfId="0" applyNumberFormat="1" applyFont="1" applyBorder="1" applyAlignment="1"/>
    <xf numFmtId="168" fontId="1" fillId="0" borderId="17" xfId="0" applyNumberFormat="1" applyFont="1" applyBorder="1" applyAlignment="1"/>
    <xf numFmtId="0" fontId="13" fillId="0" borderId="4" xfId="0" applyNumberFormat="1" applyFont="1" applyBorder="1" applyAlignment="1"/>
    <xf numFmtId="0" fontId="13" fillId="0" borderId="5" xfId="0" applyNumberFormat="1" applyFont="1" applyBorder="1" applyAlignment="1"/>
    <xf numFmtId="1" fontId="1" fillId="2" borderId="75" xfId="0" applyNumberFormat="1" applyFont="1" applyFill="1" applyBorder="1" applyAlignment="1"/>
    <xf numFmtId="1" fontId="1" fillId="0" borderId="86" xfId="0" applyNumberFormat="1" applyFont="1" applyBorder="1" applyAlignment="1"/>
    <xf numFmtId="0" fontId="14" fillId="0" borderId="4" xfId="0" applyNumberFormat="1" applyFont="1" applyBorder="1" applyAlignment="1"/>
    <xf numFmtId="1" fontId="4" fillId="0" borderId="7" xfId="0" applyNumberFormat="1" applyFont="1" applyBorder="1" applyAlignment="1"/>
    <xf numFmtId="0" fontId="4" fillId="0" borderId="8" xfId="0" applyNumberFormat="1" applyFont="1" applyBorder="1" applyAlignment="1">
      <alignment horizontal="right"/>
    </xf>
    <xf numFmtId="1" fontId="4" fillId="2" borderId="97" xfId="0" applyNumberFormat="1" applyFont="1" applyFill="1" applyBorder="1" applyAlignment="1"/>
    <xf numFmtId="1" fontId="1" fillId="0" borderId="7" xfId="0" applyNumberFormat="1" applyFont="1" applyBorder="1" applyAlignment="1"/>
    <xf numFmtId="1" fontId="1" fillId="0" borderId="82" xfId="0" applyNumberFormat="1" applyFont="1" applyBorder="1" applyAlignment="1"/>
    <xf numFmtId="0" fontId="4" fillId="0" borderId="98" xfId="0" applyNumberFormat="1" applyFont="1" applyBorder="1" applyAlignment="1"/>
    <xf numFmtId="175" fontId="1" fillId="0" borderId="99" xfId="0" applyNumberFormat="1" applyFont="1" applyBorder="1" applyAlignment="1"/>
    <xf numFmtId="175" fontId="4" fillId="2" borderId="100" xfId="0" applyNumberFormat="1" applyFont="1" applyFill="1" applyBorder="1" applyAlignment="1"/>
    <xf numFmtId="1" fontId="1" fillId="0" borderId="101" xfId="0" applyNumberFormat="1" applyFont="1" applyBorder="1" applyAlignment="1"/>
    <xf numFmtId="1" fontId="1" fillId="0" borderId="102" xfId="0" applyNumberFormat="1" applyFont="1" applyBorder="1" applyAlignment="1"/>
    <xf numFmtId="0" fontId="1" fillId="0" borderId="102" xfId="0" applyFont="1" applyBorder="1" applyAlignment="1"/>
    <xf numFmtId="175" fontId="1" fillId="0" borderId="103" xfId="0" applyNumberFormat="1" applyFont="1" applyBorder="1" applyAlignment="1"/>
    <xf numFmtId="0" fontId="11" fillId="2" borderId="104" xfId="0" applyNumberFormat="1" applyFont="1" applyFill="1" applyBorder="1" applyAlignment="1">
      <alignment horizontal="left"/>
    </xf>
    <xf numFmtId="1" fontId="4" fillId="2" borderId="105" xfId="0" applyNumberFormat="1" applyFont="1" applyFill="1" applyBorder="1" applyAlignment="1"/>
    <xf numFmtId="1" fontId="1" fillId="0" borderId="106" xfId="0" applyNumberFormat="1" applyFont="1" applyBorder="1" applyAlignment="1"/>
    <xf numFmtId="1" fontId="1" fillId="0" borderId="107" xfId="0" applyNumberFormat="1" applyFont="1" applyBorder="1" applyAlignment="1"/>
    <xf numFmtId="175" fontId="1" fillId="0" borderId="107" xfId="0" applyNumberFormat="1" applyFont="1" applyBorder="1" applyAlignment="1"/>
    <xf numFmtId="175" fontId="1" fillId="0" borderId="108" xfId="0" applyNumberFormat="1" applyFont="1" applyBorder="1" applyAlignment="1"/>
    <xf numFmtId="175" fontId="11" fillId="3" borderId="109" xfId="0" applyNumberFormat="1" applyFont="1" applyFill="1" applyBorder="1" applyAlignment="1"/>
    <xf numFmtId="0" fontId="1" fillId="0" borderId="110" xfId="0" applyFont="1" applyBorder="1" applyAlignment="1"/>
    <xf numFmtId="0" fontId="1" fillId="0" borderId="0" xfId="0" applyNumberFormat="1" applyFont="1" applyAlignment="1"/>
    <xf numFmtId="1" fontId="16" fillId="4" borderId="27" xfId="0" applyNumberFormat="1" applyFont="1" applyFill="1" applyBorder="1" applyAlignment="1">
      <alignment horizontal="left"/>
    </xf>
    <xf numFmtId="1" fontId="16" fillId="4" borderId="114" xfId="0" applyNumberFormat="1" applyFont="1" applyFill="1" applyBorder="1" applyAlignment="1">
      <alignment horizontal="left"/>
    </xf>
    <xf numFmtId="1" fontId="16" fillId="4" borderId="114" xfId="0" applyNumberFormat="1" applyFont="1" applyFill="1" applyBorder="1" applyAlignment="1"/>
    <xf numFmtId="1" fontId="16" fillId="4" borderId="115" xfId="0" applyNumberFormat="1" applyFont="1" applyFill="1" applyBorder="1" applyAlignment="1">
      <alignment horizontal="left"/>
    </xf>
    <xf numFmtId="1" fontId="16" fillId="4" borderId="116" xfId="0" applyNumberFormat="1" applyFont="1" applyFill="1" applyBorder="1" applyAlignment="1"/>
    <xf numFmtId="1" fontId="16" fillId="4" borderId="115" xfId="0" applyNumberFormat="1" applyFont="1" applyFill="1" applyBorder="1" applyAlignment="1"/>
    <xf numFmtId="1" fontId="16" fillId="4" borderId="117" xfId="0" applyNumberFormat="1" applyFont="1" applyFill="1" applyBorder="1" applyAlignment="1">
      <alignment horizontal="left"/>
    </xf>
    <xf numFmtId="1" fontId="16" fillId="4" borderId="121" xfId="0" applyNumberFormat="1" applyFont="1" applyFill="1" applyBorder="1" applyAlignment="1">
      <alignment horizontal="left"/>
    </xf>
    <xf numFmtId="1" fontId="17" fillId="4" borderId="122" xfId="0" applyNumberFormat="1" applyFont="1" applyFill="1" applyBorder="1" applyAlignment="1">
      <alignment horizontal="center"/>
    </xf>
    <xf numFmtId="1" fontId="18" fillId="4" borderId="123" xfId="0" applyNumberFormat="1" applyFont="1" applyFill="1" applyBorder="1" applyAlignment="1">
      <alignment horizontal="left"/>
    </xf>
    <xf numFmtId="0" fontId="18" fillId="4" borderId="124" xfId="0" applyNumberFormat="1" applyFont="1" applyFill="1" applyBorder="1" applyAlignment="1">
      <alignment horizontal="right"/>
    </xf>
    <xf numFmtId="167" fontId="16" fillId="2" borderId="125" xfId="0" applyNumberFormat="1" applyFont="1" applyFill="1" applyBorder="1" applyAlignment="1">
      <alignment horizontal="right"/>
    </xf>
    <xf numFmtId="173" fontId="16" fillId="2" borderId="125" xfId="0" applyNumberFormat="1" applyFont="1" applyFill="1" applyBorder="1" applyAlignment="1">
      <alignment horizontal="right"/>
    </xf>
    <xf numFmtId="173" fontId="16" fillId="4" borderId="122" xfId="0" applyNumberFormat="1" applyFont="1" applyFill="1" applyBorder="1" applyAlignment="1">
      <alignment horizontal="right"/>
    </xf>
    <xf numFmtId="1" fontId="18" fillId="4" borderId="122" xfId="0" applyNumberFormat="1" applyFont="1" applyFill="1" applyBorder="1" applyAlignment="1">
      <alignment horizontal="left"/>
    </xf>
    <xf numFmtId="0" fontId="18" fillId="4" borderId="117" xfId="0" applyNumberFormat="1" applyFont="1" applyFill="1" applyBorder="1" applyAlignment="1">
      <alignment horizontal="right"/>
    </xf>
    <xf numFmtId="184" fontId="16" fillId="2" borderId="125" xfId="0" applyNumberFormat="1" applyFont="1" applyFill="1" applyBorder="1" applyAlignment="1">
      <alignment horizontal="right"/>
    </xf>
    <xf numFmtId="185" fontId="16" fillId="2" borderId="125" xfId="0" applyNumberFormat="1" applyFont="1" applyFill="1" applyBorder="1" applyAlignment="1">
      <alignment horizontal="right"/>
    </xf>
    <xf numFmtId="185" fontId="16" fillId="4" borderId="122" xfId="0" applyNumberFormat="1" applyFont="1" applyFill="1" applyBorder="1" applyAlignment="1">
      <alignment horizontal="right"/>
    </xf>
    <xf numFmtId="14" fontId="16" fillId="2" borderId="125" xfId="0" applyNumberFormat="1" applyFont="1" applyFill="1" applyBorder="1" applyAlignment="1">
      <alignment horizontal="right"/>
    </xf>
    <xf numFmtId="1" fontId="18" fillId="4" borderId="126" xfId="0" applyNumberFormat="1" applyFont="1" applyFill="1" applyBorder="1" applyAlignment="1">
      <alignment horizontal="left"/>
    </xf>
    <xf numFmtId="0" fontId="18" fillId="4" borderId="127" xfId="0" applyNumberFormat="1" applyFont="1" applyFill="1" applyBorder="1" applyAlignment="1">
      <alignment horizontal="right"/>
    </xf>
    <xf numFmtId="1" fontId="16" fillId="4" borderId="122" xfId="0" applyNumberFormat="1" applyFont="1" applyFill="1" applyBorder="1" applyAlignment="1">
      <alignment horizontal="left"/>
    </xf>
    <xf numFmtId="1" fontId="16" fillId="4" borderId="27" xfId="0" applyNumberFormat="1" applyFont="1" applyFill="1" applyBorder="1" applyAlignment="1"/>
    <xf numFmtId="0" fontId="17" fillId="4" borderId="117" xfId="0" applyNumberFormat="1" applyFont="1" applyFill="1" applyBorder="1" applyAlignment="1">
      <alignment horizontal="right"/>
    </xf>
    <xf numFmtId="1" fontId="16" fillId="4" borderId="122" xfId="0" applyNumberFormat="1" applyFont="1" applyFill="1" applyBorder="1" applyAlignment="1"/>
    <xf numFmtId="1" fontId="17" fillId="4" borderId="27" xfId="0" applyNumberFormat="1" applyFont="1" applyFill="1" applyBorder="1" applyAlignment="1">
      <alignment horizontal="right"/>
    </xf>
    <xf numFmtId="0" fontId="17" fillId="4" borderId="27" xfId="0" applyNumberFormat="1" applyFont="1" applyFill="1" applyBorder="1" applyAlignment="1">
      <alignment horizontal="left" wrapText="1"/>
    </xf>
    <xf numFmtId="0" fontId="17" fillId="4" borderId="27" xfId="0" applyNumberFormat="1" applyFont="1" applyFill="1" applyBorder="1" applyAlignment="1">
      <alignment horizontal="right" wrapText="1"/>
    </xf>
    <xf numFmtId="1" fontId="1" fillId="4" borderId="114" xfId="0" applyNumberFormat="1" applyFont="1" applyFill="1" applyBorder="1" applyAlignment="1">
      <alignment horizontal="left"/>
    </xf>
    <xf numFmtId="1" fontId="4" fillId="4" borderId="114" xfId="0" applyNumberFormat="1" applyFont="1" applyFill="1" applyBorder="1" applyAlignment="1">
      <alignment horizontal="left" wrapText="1"/>
    </xf>
    <xf numFmtId="0" fontId="19" fillId="4" borderId="115" xfId="0" applyNumberFormat="1" applyFont="1" applyFill="1" applyBorder="1" applyAlignment="1">
      <alignment horizontal="left"/>
    </xf>
    <xf numFmtId="14" fontId="19" fillId="4" borderId="115" xfId="0" applyNumberFormat="1" applyFont="1" applyFill="1" applyBorder="1" applyAlignment="1">
      <alignment horizontal="right"/>
    </xf>
    <xf numFmtId="173" fontId="19" fillId="4" borderId="115" xfId="0" applyNumberFormat="1" applyFont="1" applyFill="1" applyBorder="1" applyAlignment="1">
      <alignment horizontal="right"/>
    </xf>
    <xf numFmtId="0" fontId="19" fillId="4" borderId="27" xfId="0" applyNumberFormat="1" applyFont="1" applyFill="1" applyBorder="1" applyAlignment="1">
      <alignment horizontal="left"/>
    </xf>
    <xf numFmtId="14" fontId="19" fillId="4" borderId="27" xfId="0" applyNumberFormat="1" applyFont="1" applyFill="1" applyBorder="1" applyAlignment="1">
      <alignment horizontal="right"/>
    </xf>
    <xf numFmtId="169" fontId="19" fillId="4" borderId="27" xfId="0" applyNumberFormat="1" applyFont="1" applyFill="1" applyBorder="1" applyAlignment="1">
      <alignment horizontal="right"/>
    </xf>
    <xf numFmtId="186" fontId="19" fillId="4" borderId="27" xfId="0" applyNumberFormat="1" applyFont="1" applyFill="1" applyBorder="1" applyAlignment="1">
      <alignment horizontal="right"/>
    </xf>
    <xf numFmtId="175" fontId="1" fillId="5" borderId="15" xfId="0" applyNumberFormat="1" applyFont="1" applyFill="1" applyBorder="1" applyAlignment="1"/>
    <xf numFmtId="175" fontId="4" fillId="5" borderId="71" xfId="0" applyNumberFormat="1" applyFont="1" applyFill="1" applyBorder="1" applyAlignment="1">
      <alignment horizontal="left"/>
    </xf>
    <xf numFmtId="0" fontId="1" fillId="5" borderId="5" xfId="0" applyNumberFormat="1" applyFont="1" applyFill="1" applyBorder="1" applyAlignment="1"/>
    <xf numFmtId="171" fontId="1" fillId="5" borderId="5" xfId="0" applyNumberFormat="1" applyFont="1" applyFill="1" applyBorder="1" applyAlignment="1">
      <alignment horizontal="right"/>
    </xf>
    <xf numFmtId="1" fontId="1" fillId="5" borderId="5" xfId="0" applyNumberFormat="1" applyFont="1" applyFill="1" applyBorder="1" applyAlignment="1"/>
    <xf numFmtId="3" fontId="1" fillId="5" borderId="5" xfId="0" applyNumberFormat="1" applyFont="1" applyFill="1" applyBorder="1" applyAlignment="1">
      <alignment horizontal="center"/>
    </xf>
    <xf numFmtId="1" fontId="1" fillId="5" borderId="27" xfId="0" applyNumberFormat="1" applyFont="1" applyFill="1" applyBorder="1" applyAlignment="1"/>
    <xf numFmtId="175" fontId="1" fillId="5" borderId="27" xfId="0" applyNumberFormat="1" applyFont="1" applyFill="1" applyBorder="1" applyAlignment="1"/>
    <xf numFmtId="1" fontId="1" fillId="5" borderId="35" xfId="0" applyNumberFormat="1" applyFont="1" applyFill="1" applyBorder="1" applyAlignment="1"/>
    <xf numFmtId="0" fontId="1" fillId="5" borderId="5" xfId="0" applyFont="1" applyFill="1" applyBorder="1" applyAlignment="1"/>
    <xf numFmtId="175" fontId="1" fillId="5" borderId="6" xfId="0" applyNumberFormat="1" applyFont="1" applyFill="1" applyBorder="1" applyAlignment="1"/>
    <xf numFmtId="0" fontId="1" fillId="5" borderId="4" xfId="0" applyFont="1" applyFill="1" applyBorder="1" applyAlignment="1"/>
    <xf numFmtId="175" fontId="1" fillId="5" borderId="5" xfId="0" applyNumberFormat="1" applyFont="1" applyFill="1" applyBorder="1" applyAlignment="1"/>
    <xf numFmtId="168" fontId="1" fillId="5" borderId="27" xfId="0" applyNumberFormat="1" applyFont="1" applyFill="1" applyBorder="1" applyAlignment="1"/>
    <xf numFmtId="167" fontId="1" fillId="5" borderId="15" xfId="0" applyNumberFormat="1" applyFont="1" applyFill="1" applyBorder="1" applyAlignment="1"/>
    <xf numFmtId="0" fontId="1" fillId="5" borderId="0" xfId="0" applyNumberFormat="1" applyFont="1" applyFill="1" applyAlignment="1"/>
    <xf numFmtId="179" fontId="1" fillId="5" borderId="0" xfId="0" applyNumberFormat="1" applyFont="1" applyFill="1" applyAlignment="1">
      <alignment horizontal="left"/>
    </xf>
    <xf numFmtId="175" fontId="1" fillId="5" borderId="0" xfId="0" applyNumberFormat="1" applyFont="1" applyFill="1" applyAlignment="1"/>
    <xf numFmtId="9" fontId="4" fillId="0" borderId="65" xfId="1" applyFont="1" applyBorder="1" applyAlignment="1">
      <alignment horizontal="right"/>
    </xf>
    <xf numFmtId="171" fontId="1" fillId="5" borderId="5" xfId="0" applyNumberFormat="1" applyFont="1" applyFill="1" applyBorder="1" applyAlignment="1">
      <alignment horizontal="left"/>
    </xf>
    <xf numFmtId="38" fontId="1" fillId="5" borderId="5" xfId="0" applyNumberFormat="1" applyFont="1" applyFill="1" applyBorder="1" applyAlignment="1">
      <alignment horizontal="center"/>
    </xf>
    <xf numFmtId="9" fontId="21" fillId="5" borderId="5" xfId="1" applyFont="1" applyFill="1" applyBorder="1" applyAlignment="1"/>
    <xf numFmtId="9" fontId="1" fillId="5" borderId="5" xfId="0" applyNumberFormat="1" applyFont="1" applyFill="1" applyBorder="1" applyAlignment="1"/>
    <xf numFmtId="168" fontId="1" fillId="5" borderId="5" xfId="0" applyNumberFormat="1" applyFont="1" applyFill="1" applyBorder="1" applyAlignment="1"/>
    <xf numFmtId="168" fontId="4" fillId="6" borderId="13" xfId="0" applyNumberFormat="1" applyFont="1" applyFill="1" applyBorder="1" applyAlignment="1"/>
    <xf numFmtId="0" fontId="2" fillId="0" borderId="1" xfId="0" applyNumberFormat="1" applyFont="1" applyBorder="1" applyAlignment="1">
      <alignment horizontal="center" wrapText="1"/>
    </xf>
    <xf numFmtId="1" fontId="2" fillId="0" borderId="2" xfId="0" applyNumberFormat="1" applyFont="1" applyBorder="1" applyAlignment="1">
      <alignment horizontal="center" wrapText="1"/>
    </xf>
    <xf numFmtId="1" fontId="2" fillId="0" borderId="3" xfId="0" applyNumberFormat="1" applyFont="1" applyBorder="1" applyAlignment="1">
      <alignment horizontal="center" wrapText="1"/>
    </xf>
    <xf numFmtId="0" fontId="4" fillId="2" borderId="11" xfId="0" applyNumberFormat="1" applyFont="1" applyFill="1" applyBorder="1" applyAlignment="1">
      <alignment horizontal="center"/>
    </xf>
    <xf numFmtId="1" fontId="4" fillId="2" borderId="12" xfId="0" applyNumberFormat="1" applyFont="1" applyFill="1" applyBorder="1" applyAlignment="1">
      <alignment horizontal="center"/>
    </xf>
    <xf numFmtId="1" fontId="4" fillId="2" borderId="13" xfId="0" applyNumberFormat="1" applyFont="1" applyFill="1" applyBorder="1" applyAlignment="1">
      <alignment horizontal="center"/>
    </xf>
    <xf numFmtId="164" fontId="4" fillId="0" borderId="7" xfId="0" applyNumberFormat="1" applyFont="1" applyBorder="1" applyAlignment="1">
      <alignment horizontal="center" wrapText="1"/>
    </xf>
    <xf numFmtId="164" fontId="4" fillId="0" borderId="8" xfId="0" applyNumberFormat="1" applyFont="1" applyBorder="1" applyAlignment="1">
      <alignment horizontal="center" wrapText="1"/>
    </xf>
    <xf numFmtId="164" fontId="4" fillId="0" borderId="9" xfId="0" applyNumberFormat="1" applyFont="1" applyBorder="1" applyAlignment="1">
      <alignment horizontal="center" wrapText="1"/>
    </xf>
    <xf numFmtId="1" fontId="16" fillId="4" borderId="118" xfId="0" applyNumberFormat="1" applyFont="1" applyFill="1" applyBorder="1" applyAlignment="1">
      <alignment horizontal="left"/>
    </xf>
    <xf numFmtId="1" fontId="16" fillId="4" borderId="120" xfId="0" applyNumberFormat="1" applyFont="1" applyFill="1" applyBorder="1" applyAlignment="1">
      <alignment horizontal="left"/>
    </xf>
    <xf numFmtId="0" fontId="17" fillId="4" borderId="118" xfId="0" applyNumberFormat="1" applyFont="1" applyFill="1" applyBorder="1" applyAlignment="1">
      <alignment horizontal="right"/>
    </xf>
    <xf numFmtId="1" fontId="17" fillId="4" borderId="119" xfId="0" applyNumberFormat="1" applyFont="1" applyFill="1" applyBorder="1" applyAlignment="1">
      <alignment horizontal="right"/>
    </xf>
    <xf numFmtId="1" fontId="17" fillId="4" borderId="120" xfId="0" applyNumberFormat="1" applyFont="1" applyFill="1" applyBorder="1" applyAlignment="1">
      <alignment horizontal="right"/>
    </xf>
    <xf numFmtId="0" fontId="15" fillId="4" borderId="111" xfId="0" applyNumberFormat="1" applyFont="1" applyFill="1" applyBorder="1" applyAlignment="1">
      <alignment horizontal="left"/>
    </xf>
    <xf numFmtId="1" fontId="15" fillId="4" borderId="112" xfId="0" applyNumberFormat="1" applyFont="1" applyFill="1" applyBorder="1" applyAlignment="1">
      <alignment horizontal="left"/>
    </xf>
    <xf numFmtId="1" fontId="15" fillId="4" borderId="113" xfId="0" applyNumberFormat="1" applyFont="1" applyFill="1" applyBorder="1" applyAlignment="1">
      <alignment horizontal="left"/>
    </xf>
  </cellXfs>
  <cellStyles count="2">
    <cellStyle name="Normal" xfId="0" builtinId="0"/>
    <cellStyle name="Percent" xfId="1" builtinId="5"/>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DD0806"/>
      <rgbColor rgb="FFAAAAAA"/>
      <rgbColor rgb="FFC0C0C0"/>
      <rgbColor rgb="FFFF6600"/>
      <rgbColor rgb="FF0000D4"/>
      <rgbColor rgb="FFFCF305"/>
      <rgbColor rgb="FF333333"/>
      <rgbColor rgb="FFFFFFFF"/>
      <rgbColor rgb="FF900000"/>
      <rgbColor rgb="FF808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portlandtransportation.org/SystemDevelopmentCharge/Rates.htm" TargetMode="External"/><Relationship Id="rId2" Type="http://schemas.openxmlformats.org/officeDocument/2006/relationships/hyperlink" Target="http://www.portlandparks.org/Planning/SystemDevCharge.htm" TargetMode="External"/><Relationship Id="rId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85"/>
  <sheetViews>
    <sheetView showGridLines="0" tabSelected="1" topLeftCell="A27" zoomScale="85" zoomScaleNormal="85" zoomScalePageLayoutView="85" workbookViewId="0">
      <selection activeCell="G57" sqref="G57"/>
    </sheetView>
  </sheetViews>
  <sheetFormatPr baseColWidth="10" defaultColWidth="6.625" defaultRowHeight="4.5" customHeight="1" x14ac:dyDescent="0.15"/>
  <cols>
    <col min="1" max="1" width="24.75" style="1" customWidth="1"/>
    <col min="2" max="2" width="4.5" style="1" customWidth="1"/>
    <col min="3" max="3" width="9.375" style="1" customWidth="1"/>
    <col min="4" max="4" width="8.625" style="1" customWidth="1"/>
    <col min="5" max="5" width="9.375" style="1" customWidth="1"/>
    <col min="6" max="6" width="9.625" style="1" customWidth="1"/>
    <col min="7" max="7" width="23.375" style="1" customWidth="1"/>
    <col min="8" max="8" width="9.625" style="1" customWidth="1"/>
    <col min="9" max="9" width="12.5" style="1" customWidth="1"/>
    <col min="10" max="17" width="12.375" style="1" customWidth="1"/>
    <col min="18" max="22" width="8.75" style="1" customWidth="1"/>
    <col min="23" max="23" width="10.125" style="1" customWidth="1"/>
    <col min="24" max="256" width="6.625" customWidth="1"/>
  </cols>
  <sheetData>
    <row r="1" spans="1:23" ht="23.25" customHeight="1" x14ac:dyDescent="0.2">
      <c r="A1" s="456" t="s">
        <v>270</v>
      </c>
      <c r="B1" s="457"/>
      <c r="C1" s="457"/>
      <c r="D1" s="457"/>
      <c r="E1" s="457"/>
      <c r="F1" s="457"/>
      <c r="G1" s="457"/>
      <c r="H1" s="457"/>
      <c r="I1" s="458"/>
      <c r="J1" s="2"/>
      <c r="K1" s="3"/>
      <c r="L1" s="3"/>
      <c r="M1" s="3"/>
      <c r="N1" s="3"/>
      <c r="O1" s="3"/>
      <c r="P1" s="3"/>
      <c r="Q1" s="3"/>
      <c r="R1" s="3"/>
      <c r="S1" s="3"/>
      <c r="T1" s="3"/>
      <c r="U1" s="3"/>
      <c r="V1" s="3"/>
      <c r="W1" s="3"/>
    </row>
    <row r="2" spans="1:23" ht="12.75" customHeight="1" x14ac:dyDescent="0.2">
      <c r="A2" s="4"/>
      <c r="B2" s="5"/>
      <c r="C2" s="5"/>
      <c r="D2" s="5"/>
      <c r="E2" s="5"/>
      <c r="F2" s="5"/>
      <c r="G2" s="5"/>
      <c r="H2" s="5"/>
      <c r="I2" s="6"/>
      <c r="J2" s="2"/>
      <c r="K2" s="3"/>
      <c r="L2" s="3"/>
      <c r="M2" s="3"/>
      <c r="N2" s="3"/>
      <c r="O2" s="3"/>
      <c r="P2" s="3"/>
      <c r="Q2" s="3"/>
      <c r="R2" s="3"/>
      <c r="S2" s="3"/>
      <c r="T2" s="3"/>
      <c r="U2" s="3"/>
      <c r="V2" s="3"/>
      <c r="W2" s="3"/>
    </row>
    <row r="3" spans="1:23" ht="12.75" customHeight="1" x14ac:dyDescent="0.15">
      <c r="A3" s="462">
        <v>42766</v>
      </c>
      <c r="B3" s="463"/>
      <c r="C3" s="463"/>
      <c r="D3" s="463"/>
      <c r="E3" s="463"/>
      <c r="F3" s="463"/>
      <c r="G3" s="463"/>
      <c r="H3" s="463"/>
      <c r="I3" s="464"/>
      <c r="J3" s="2"/>
      <c r="K3" s="3"/>
      <c r="L3" s="3"/>
      <c r="M3" s="3"/>
      <c r="N3" s="3"/>
      <c r="O3" s="3"/>
      <c r="P3" s="3"/>
      <c r="Q3" s="3"/>
      <c r="R3" s="3"/>
      <c r="S3" s="3"/>
      <c r="T3" s="3"/>
      <c r="U3" s="3"/>
      <c r="V3" s="3"/>
      <c r="W3" s="3"/>
    </row>
    <row r="4" spans="1:23" ht="16.25" customHeight="1" x14ac:dyDescent="0.15">
      <c r="A4" s="7"/>
      <c r="B4" s="7"/>
      <c r="C4" s="7"/>
      <c r="D4" s="7"/>
      <c r="E4" s="7"/>
      <c r="F4" s="8"/>
      <c r="G4" s="7"/>
      <c r="H4" s="7"/>
      <c r="I4" s="7"/>
      <c r="J4" s="3"/>
      <c r="K4" s="3"/>
      <c r="L4" s="3"/>
      <c r="M4" s="3"/>
      <c r="N4" s="3"/>
      <c r="O4" s="3"/>
      <c r="P4" s="3"/>
      <c r="Q4" s="3"/>
      <c r="R4" s="3"/>
      <c r="S4" s="3"/>
      <c r="T4" s="3"/>
      <c r="U4" s="3"/>
      <c r="V4" s="3"/>
      <c r="W4" s="3"/>
    </row>
    <row r="5" spans="1:23" ht="16" customHeight="1" x14ac:dyDescent="0.15">
      <c r="A5" s="459" t="s">
        <v>0</v>
      </c>
      <c r="B5" s="460"/>
      <c r="C5" s="460"/>
      <c r="D5" s="460"/>
      <c r="E5" s="461"/>
      <c r="F5" s="9"/>
      <c r="G5" s="459" t="s">
        <v>1</v>
      </c>
      <c r="H5" s="460"/>
      <c r="I5" s="461"/>
      <c r="J5" s="10"/>
      <c r="K5" s="3"/>
      <c r="L5" s="11"/>
      <c r="M5" s="11"/>
      <c r="N5" s="11"/>
      <c r="O5" s="12"/>
      <c r="P5" s="12"/>
      <c r="Q5" s="12"/>
      <c r="R5" s="12"/>
      <c r="S5" s="12"/>
      <c r="T5" s="3"/>
      <c r="U5" s="3"/>
      <c r="V5" s="3"/>
      <c r="W5" s="3"/>
    </row>
    <row r="6" spans="1:23" ht="19" customHeight="1" x14ac:dyDescent="0.2">
      <c r="A6" s="13" t="s">
        <v>2</v>
      </c>
      <c r="B6" s="14"/>
      <c r="C6" s="15"/>
      <c r="D6" s="15"/>
      <c r="E6" s="16">
        <v>10000</v>
      </c>
      <c r="F6" s="9"/>
      <c r="G6" s="13" t="s">
        <v>3</v>
      </c>
      <c r="H6" s="14"/>
      <c r="I6" s="17">
        <f>I22</f>
        <v>4.4999999999999998E-2</v>
      </c>
      <c r="J6" s="10"/>
      <c r="K6" s="3"/>
      <c r="L6" s="18"/>
      <c r="M6" s="12"/>
      <c r="N6" s="18"/>
      <c r="O6" s="12"/>
      <c r="P6" s="19"/>
      <c r="Q6" s="12"/>
      <c r="R6" s="12"/>
      <c r="S6" s="12"/>
      <c r="T6" s="3"/>
      <c r="U6" s="3"/>
      <c r="V6" s="3"/>
      <c r="W6" s="3"/>
    </row>
    <row r="7" spans="1:23" ht="16" customHeight="1" x14ac:dyDescent="0.15">
      <c r="A7" s="20" t="s">
        <v>4</v>
      </c>
      <c r="B7" s="21"/>
      <c r="C7" s="22"/>
      <c r="D7" s="22"/>
      <c r="E7" s="23">
        <v>6</v>
      </c>
      <c r="F7" s="9"/>
      <c r="G7" s="24" t="s">
        <v>5</v>
      </c>
      <c r="H7" s="12"/>
      <c r="I7" s="25">
        <v>30</v>
      </c>
      <c r="J7" s="10"/>
      <c r="K7" s="3"/>
      <c r="L7" s="18"/>
      <c r="M7" s="12"/>
      <c r="N7" s="18"/>
      <c r="O7" s="12"/>
      <c r="P7" s="26"/>
      <c r="Q7" s="26"/>
      <c r="R7" s="26"/>
      <c r="S7" s="26"/>
      <c r="T7" s="3"/>
      <c r="U7" s="3"/>
      <c r="V7" s="3"/>
      <c r="W7" s="3"/>
    </row>
    <row r="8" spans="1:23" ht="16" customHeight="1" x14ac:dyDescent="0.15">
      <c r="A8" s="13" t="s">
        <v>6</v>
      </c>
      <c r="B8" s="27" t="s">
        <v>7</v>
      </c>
      <c r="C8" s="28"/>
      <c r="D8" s="29">
        <f>(36000-E9)/B14</f>
        <v>6500</v>
      </c>
      <c r="E8" s="16">
        <f>D8*B14</f>
        <v>32500</v>
      </c>
      <c r="F8" s="30"/>
      <c r="G8" s="31" t="s">
        <v>8</v>
      </c>
      <c r="H8" s="11"/>
      <c r="I8" s="32">
        <f>H30</f>
        <v>9485656.4201739132</v>
      </c>
      <c r="J8" s="33"/>
      <c r="K8" s="3"/>
      <c r="L8" s="18"/>
      <c r="M8" s="12"/>
      <c r="N8" s="34"/>
      <c r="O8" s="12"/>
      <c r="P8" s="26"/>
      <c r="Q8" s="26"/>
      <c r="R8" s="26"/>
      <c r="S8" s="26"/>
      <c r="T8" s="3"/>
      <c r="U8" s="3"/>
      <c r="V8" s="3"/>
      <c r="W8" s="3"/>
    </row>
    <row r="9" spans="1:23" ht="16" customHeight="1" x14ac:dyDescent="0.15">
      <c r="A9" s="24" t="s">
        <v>9</v>
      </c>
      <c r="B9" s="12"/>
      <c r="C9" s="35"/>
      <c r="D9" s="12"/>
      <c r="E9" s="36">
        <v>3500</v>
      </c>
      <c r="F9" s="9"/>
      <c r="G9" s="31" t="s">
        <v>10</v>
      </c>
      <c r="H9" s="12"/>
      <c r="I9" s="37">
        <f>I25</f>
        <v>14821338.156521739</v>
      </c>
      <c r="J9" s="10"/>
      <c r="K9" s="3"/>
      <c r="L9" s="18"/>
      <c r="M9" s="12"/>
      <c r="N9" s="34"/>
      <c r="O9" s="12"/>
      <c r="P9" s="26"/>
      <c r="Q9" s="26"/>
      <c r="R9" s="26"/>
      <c r="S9" s="26"/>
      <c r="T9" s="3"/>
      <c r="U9" s="3"/>
      <c r="V9" s="3"/>
      <c r="W9" s="3"/>
    </row>
    <row r="10" spans="1:23" ht="16" customHeight="1" x14ac:dyDescent="0.15">
      <c r="A10" s="24" t="s">
        <v>11</v>
      </c>
      <c r="B10" s="38"/>
      <c r="C10" s="39"/>
      <c r="D10" s="12"/>
      <c r="E10" s="36">
        <v>0</v>
      </c>
      <c r="F10" s="9"/>
      <c r="G10" s="31" t="s">
        <v>12</v>
      </c>
      <c r="H10" s="12"/>
      <c r="I10" s="40">
        <f>I8/I9</f>
        <v>0.64</v>
      </c>
      <c r="J10" s="10"/>
      <c r="K10" s="3"/>
      <c r="L10" s="18"/>
      <c r="M10" s="12"/>
      <c r="N10" s="41"/>
      <c r="O10" s="12"/>
      <c r="P10" s="26"/>
      <c r="Q10" s="26"/>
      <c r="R10" s="26"/>
      <c r="S10" s="26"/>
      <c r="T10" s="3"/>
      <c r="U10" s="3"/>
      <c r="V10" s="3"/>
      <c r="W10" s="3"/>
    </row>
    <row r="11" spans="1:23" ht="16" customHeight="1" x14ac:dyDescent="0.15">
      <c r="A11" s="33" t="s">
        <v>254</v>
      </c>
      <c r="B11" s="12"/>
      <c r="C11" s="12"/>
      <c r="D11" s="12"/>
      <c r="E11" s="36">
        <v>1000</v>
      </c>
      <c r="F11" s="9"/>
      <c r="G11" s="31" t="s">
        <v>13</v>
      </c>
      <c r="H11" s="12"/>
      <c r="I11" s="40">
        <f>I8/E48</f>
        <v>0.74711090375235922</v>
      </c>
      <c r="J11" s="10"/>
      <c r="K11" s="3"/>
      <c r="L11" s="18"/>
      <c r="M11" s="12"/>
      <c r="N11" s="18"/>
      <c r="O11" s="12"/>
      <c r="P11" s="26"/>
      <c r="Q11" s="26"/>
      <c r="R11" s="26"/>
      <c r="S11" s="26"/>
      <c r="T11" s="3"/>
      <c r="U11" s="3"/>
      <c r="V11" s="3"/>
      <c r="W11" s="3"/>
    </row>
    <row r="12" spans="1:23" ht="12" customHeight="1" x14ac:dyDescent="0.2">
      <c r="A12" s="43" t="s">
        <v>14</v>
      </c>
      <c r="B12" s="12"/>
      <c r="C12" s="35"/>
      <c r="D12" s="44" t="s">
        <v>15</v>
      </c>
      <c r="E12" s="36">
        <v>0</v>
      </c>
      <c r="F12" s="9"/>
      <c r="G12" s="31" t="s">
        <v>16</v>
      </c>
      <c r="H12" s="12"/>
      <c r="I12" s="40">
        <f>(I8-I41)/I25</f>
        <v>0.64</v>
      </c>
      <c r="J12" s="10"/>
      <c r="K12" s="3"/>
      <c r="L12" s="18"/>
      <c r="M12" s="12"/>
      <c r="N12" s="45"/>
      <c r="O12" s="12"/>
      <c r="P12" s="19"/>
      <c r="Q12" s="12"/>
      <c r="R12" s="12"/>
      <c r="S12" s="12"/>
      <c r="T12" s="3"/>
      <c r="U12" s="3"/>
      <c r="V12" s="3"/>
      <c r="W12" s="3"/>
    </row>
    <row r="13" spans="1:23" ht="16" customHeight="1" x14ac:dyDescent="0.15">
      <c r="A13" s="33"/>
      <c r="B13" s="12"/>
      <c r="C13" s="12"/>
      <c r="D13" s="12"/>
      <c r="E13" s="42"/>
      <c r="F13" s="9"/>
      <c r="G13" s="46" t="s">
        <v>17</v>
      </c>
      <c r="H13" s="12"/>
      <c r="I13" s="47">
        <v>1.2</v>
      </c>
      <c r="J13" s="10"/>
      <c r="K13" s="3"/>
      <c r="L13" s="18"/>
      <c r="M13" s="12"/>
      <c r="N13" s="18"/>
      <c r="O13" s="12"/>
      <c r="P13" s="12"/>
      <c r="Q13" s="12"/>
      <c r="R13" s="12"/>
      <c r="S13" s="12"/>
      <c r="T13" s="3"/>
      <c r="U13" s="3"/>
      <c r="V13" s="3"/>
      <c r="W13" s="3"/>
    </row>
    <row r="14" spans="1:23" ht="16" customHeight="1" x14ac:dyDescent="0.15">
      <c r="A14" s="24" t="s">
        <v>18</v>
      </c>
      <c r="B14" s="44">
        <v>5</v>
      </c>
      <c r="C14" s="35"/>
      <c r="D14" s="48"/>
      <c r="E14" s="36"/>
      <c r="F14" s="9"/>
      <c r="G14" s="31" t="s">
        <v>19</v>
      </c>
      <c r="H14" s="49"/>
      <c r="I14" s="50">
        <v>0</v>
      </c>
      <c r="J14" s="51"/>
      <c r="K14" s="11"/>
      <c r="L14" s="18"/>
      <c r="M14" s="12"/>
      <c r="N14" s="18"/>
      <c r="O14" s="12"/>
      <c r="P14" s="12"/>
      <c r="Q14" s="12"/>
      <c r="R14" s="12"/>
      <c r="S14" s="12"/>
      <c r="T14" s="3"/>
      <c r="U14" s="3"/>
      <c r="V14" s="3"/>
      <c r="W14" s="3"/>
    </row>
    <row r="15" spans="1:23" ht="16" customHeight="1" x14ac:dyDescent="0.15">
      <c r="A15" s="46" t="s">
        <v>20</v>
      </c>
      <c r="B15" s="44">
        <v>2</v>
      </c>
      <c r="C15" s="35"/>
      <c r="D15" s="12"/>
      <c r="E15" s="36"/>
      <c r="F15" s="9"/>
      <c r="G15" s="52"/>
      <c r="H15" s="49"/>
      <c r="I15" s="53"/>
      <c r="J15" s="51"/>
      <c r="K15" s="54"/>
      <c r="L15" s="18"/>
      <c r="M15" s="12"/>
      <c r="N15" s="18"/>
      <c r="O15" s="12"/>
      <c r="P15" s="12"/>
      <c r="Q15" s="12"/>
      <c r="R15" s="12"/>
      <c r="S15" s="12"/>
      <c r="T15" s="3"/>
      <c r="U15" s="3"/>
      <c r="V15" s="3"/>
      <c r="W15" s="3"/>
    </row>
    <row r="16" spans="1:23" ht="16" customHeight="1" x14ac:dyDescent="0.15">
      <c r="A16" s="55" t="s">
        <v>21</v>
      </c>
      <c r="B16" s="20">
        <f>B14+B15</f>
        <v>7</v>
      </c>
      <c r="C16" s="21"/>
      <c r="D16" s="21"/>
      <c r="E16" s="56"/>
      <c r="F16" s="9"/>
      <c r="G16" s="52"/>
      <c r="H16" s="49"/>
      <c r="I16" s="53"/>
      <c r="J16" s="51"/>
      <c r="K16" s="54"/>
      <c r="L16" s="3"/>
      <c r="M16" s="3"/>
      <c r="N16" s="3"/>
      <c r="O16" s="3"/>
      <c r="P16" s="3"/>
      <c r="Q16" s="3"/>
      <c r="R16" s="3"/>
      <c r="S16" s="3"/>
      <c r="T16" s="3"/>
      <c r="U16" s="3"/>
      <c r="V16" s="3"/>
      <c r="W16" s="3"/>
    </row>
    <row r="17" spans="1:23" ht="16" customHeight="1" x14ac:dyDescent="0.15">
      <c r="A17" s="57" t="s">
        <v>22</v>
      </c>
      <c r="B17" s="15"/>
      <c r="C17" s="27" t="s">
        <v>23</v>
      </c>
      <c r="D17" s="14"/>
      <c r="E17" s="16">
        <f>E18/E19</f>
        <v>43023.255813953489</v>
      </c>
      <c r="F17" s="9"/>
      <c r="G17" s="58" t="s">
        <v>24</v>
      </c>
      <c r="H17" s="59"/>
      <c r="I17" s="60">
        <f>I13*I6*I8</f>
        <v>512225.44668939133</v>
      </c>
      <c r="J17" s="61"/>
      <c r="K17" s="12"/>
      <c r="L17" s="18"/>
      <c r="M17" s="12"/>
      <c r="N17" s="18"/>
      <c r="O17" s="12"/>
      <c r="P17" s="12"/>
      <c r="Q17" s="12"/>
      <c r="R17" s="12"/>
      <c r="S17" s="12"/>
      <c r="T17" s="3"/>
      <c r="U17" s="3"/>
      <c r="V17" s="3"/>
      <c r="W17" s="3"/>
    </row>
    <row r="18" spans="1:23" ht="12" customHeight="1" x14ac:dyDescent="0.15">
      <c r="A18" s="46" t="s">
        <v>25</v>
      </c>
      <c r="B18" s="39"/>
      <c r="C18" s="39"/>
      <c r="D18" s="39"/>
      <c r="E18" s="36">
        <f>E8+E9+E10+E11</f>
        <v>37000</v>
      </c>
      <c r="F18" s="10"/>
      <c r="G18" s="62"/>
      <c r="H18" s="62"/>
      <c r="I18" s="62"/>
      <c r="J18" s="3"/>
      <c r="K18" s="3"/>
      <c r="L18" s="18"/>
      <c r="M18" s="12"/>
      <c r="N18" s="18"/>
      <c r="O18" s="12"/>
      <c r="P18" s="12"/>
      <c r="Q18" s="12"/>
      <c r="R18" s="12"/>
      <c r="S18" s="12"/>
      <c r="T18" s="3"/>
      <c r="U18" s="3"/>
      <c r="V18" s="3"/>
      <c r="W18" s="3"/>
    </row>
    <row r="19" spans="1:23" ht="16" customHeight="1" x14ac:dyDescent="0.15">
      <c r="A19" s="63" t="s">
        <v>26</v>
      </c>
      <c r="B19" s="22"/>
      <c r="C19" s="21"/>
      <c r="D19" s="21"/>
      <c r="E19" s="64">
        <v>0.86</v>
      </c>
      <c r="F19" s="9"/>
      <c r="G19" s="459" t="s">
        <v>27</v>
      </c>
      <c r="H19" s="460"/>
      <c r="I19" s="461"/>
      <c r="J19" s="10"/>
      <c r="K19" s="12"/>
      <c r="L19" s="18"/>
      <c r="M19" s="12"/>
      <c r="N19" s="65"/>
      <c r="O19" s="12"/>
      <c r="P19" s="26"/>
      <c r="Q19" s="26"/>
      <c r="R19" s="26"/>
      <c r="S19" s="26"/>
      <c r="T19" s="12"/>
      <c r="U19" s="12"/>
      <c r="V19" s="12"/>
      <c r="W19" s="3"/>
    </row>
    <row r="20" spans="1:23" ht="16" customHeight="1" x14ac:dyDescent="0.15">
      <c r="A20" s="66" t="s">
        <v>28</v>
      </c>
      <c r="B20" s="67">
        <v>26</v>
      </c>
      <c r="C20" s="68" t="s">
        <v>29</v>
      </c>
      <c r="D20" s="69">
        <f>E8/E18</f>
        <v>0.8783783783783784</v>
      </c>
      <c r="E20" s="70">
        <f>D8*B20/12</f>
        <v>14083.333333333334</v>
      </c>
      <c r="F20" s="9"/>
      <c r="G20" s="71"/>
      <c r="H20" s="72" t="s">
        <v>30</v>
      </c>
      <c r="I20" s="73" t="s">
        <v>31</v>
      </c>
      <c r="J20" s="10"/>
      <c r="K20" s="12"/>
      <c r="L20" s="12"/>
      <c r="M20" s="74"/>
      <c r="N20" s="74"/>
      <c r="O20" s="74"/>
      <c r="P20" s="75"/>
      <c r="Q20" s="74"/>
      <c r="R20" s="74"/>
      <c r="S20" s="76"/>
      <c r="T20" s="77"/>
      <c r="U20" s="74"/>
      <c r="V20" s="74"/>
      <c r="W20" s="74"/>
    </row>
    <row r="21" spans="1:23" ht="16" customHeight="1" x14ac:dyDescent="0.15">
      <c r="A21" s="78" t="s">
        <v>32</v>
      </c>
      <c r="B21" s="79">
        <v>26</v>
      </c>
      <c r="C21" s="80" t="s">
        <v>29</v>
      </c>
      <c r="D21" s="81">
        <f>(E9)/E18</f>
        <v>9.45945945945946E-2</v>
      </c>
      <c r="E21" s="82">
        <f>B21*E9/12/B15</f>
        <v>3791.6666666666665</v>
      </c>
      <c r="F21" s="9"/>
      <c r="G21" s="31" t="s">
        <v>33</v>
      </c>
      <c r="H21" s="83">
        <f>-PV(H22/12,H23*12,H28/H24/12,0)</f>
        <v>9718798.742011182</v>
      </c>
      <c r="I21" s="50">
        <f>I26*I25</f>
        <v>9485656.4201739132</v>
      </c>
      <c r="J21" s="10"/>
      <c r="K21" s="12"/>
      <c r="L21" s="12"/>
      <c r="M21" s="12"/>
      <c r="N21" s="75"/>
      <c r="O21" s="12"/>
      <c r="P21" s="12"/>
      <c r="Q21" s="84"/>
      <c r="R21" s="75"/>
      <c r="S21" s="12"/>
      <c r="T21" s="11"/>
      <c r="U21" s="11"/>
      <c r="V21" s="11"/>
      <c r="W21" s="12"/>
    </row>
    <row r="22" spans="1:23" ht="13.5" customHeight="1" x14ac:dyDescent="0.15">
      <c r="A22" s="78" t="s">
        <v>34</v>
      </c>
      <c r="B22" s="79">
        <v>26</v>
      </c>
      <c r="C22" s="80" t="s">
        <v>29</v>
      </c>
      <c r="D22" s="81">
        <f>E10/E18</f>
        <v>0</v>
      </c>
      <c r="E22" s="82">
        <f>E10*B22/12/B14</f>
        <v>0</v>
      </c>
      <c r="F22" s="9"/>
      <c r="G22" s="24" t="s">
        <v>3</v>
      </c>
      <c r="H22" s="85">
        <v>0.05</v>
      </c>
      <c r="I22" s="86">
        <v>4.4999999999999998E-2</v>
      </c>
      <c r="J22" s="10"/>
      <c r="K22" s="12"/>
      <c r="L22" s="12"/>
      <c r="M22" s="12"/>
      <c r="N22" s="12"/>
      <c r="O22" s="12"/>
      <c r="P22" s="12"/>
      <c r="Q22" s="12"/>
      <c r="R22" s="12"/>
      <c r="S22" s="12"/>
      <c r="T22" s="12"/>
      <c r="U22" s="12"/>
      <c r="V22" s="12"/>
      <c r="W22" s="12"/>
    </row>
    <row r="23" spans="1:23" ht="16" customHeight="1" x14ac:dyDescent="0.15">
      <c r="A23" s="87" t="s">
        <v>255</v>
      </c>
      <c r="B23" s="79">
        <v>32</v>
      </c>
      <c r="C23" s="88" t="s">
        <v>29</v>
      </c>
      <c r="D23" s="81">
        <f>E11/E18</f>
        <v>2.7027027027027029E-2</v>
      </c>
      <c r="E23" s="82">
        <f>B23/12*E11</f>
        <v>2666.6666666666665</v>
      </c>
      <c r="F23" s="9"/>
      <c r="G23" s="24" t="s">
        <v>35</v>
      </c>
      <c r="H23" s="44">
        <v>25</v>
      </c>
      <c r="I23" s="25">
        <f>H23</f>
        <v>25</v>
      </c>
      <c r="J23" s="10"/>
      <c r="K23" s="12"/>
      <c r="L23" s="12"/>
      <c r="M23" s="12"/>
      <c r="N23" s="77"/>
      <c r="O23" s="77"/>
      <c r="P23" s="77"/>
      <c r="Q23" s="77"/>
      <c r="R23" s="77"/>
      <c r="S23" s="77"/>
      <c r="T23" s="77"/>
      <c r="U23" s="77"/>
      <c r="V23" s="77"/>
      <c r="W23" s="77"/>
    </row>
    <row r="24" spans="1:23" ht="16" customHeight="1" x14ac:dyDescent="0.15">
      <c r="A24" s="78" t="s">
        <v>36</v>
      </c>
      <c r="B24" s="89">
        <v>22</v>
      </c>
      <c r="C24" s="80" t="s">
        <v>37</v>
      </c>
      <c r="D24" s="90"/>
      <c r="E24" s="91">
        <f>B24</f>
        <v>22</v>
      </c>
      <c r="F24" s="9"/>
      <c r="G24" s="24" t="s">
        <v>38</v>
      </c>
      <c r="H24" s="92">
        <v>1.25</v>
      </c>
      <c r="I24" s="93"/>
      <c r="J24" s="10"/>
      <c r="K24" s="12"/>
      <c r="L24" s="94"/>
      <c r="M24" s="95"/>
      <c r="N24" s="95"/>
      <c r="O24" s="95"/>
      <c r="P24" s="95"/>
      <c r="Q24" s="95"/>
      <c r="R24" s="95"/>
      <c r="S24" s="95"/>
      <c r="T24" s="95"/>
      <c r="U24" s="95"/>
      <c r="V24" s="95"/>
      <c r="W24" s="95"/>
    </row>
    <row r="25" spans="1:23" ht="16" customHeight="1" x14ac:dyDescent="0.15">
      <c r="A25" s="78" t="s">
        <v>39</v>
      </c>
      <c r="B25" s="96"/>
      <c r="C25" s="97">
        <v>120</v>
      </c>
      <c r="D25" s="80" t="s">
        <v>40</v>
      </c>
      <c r="E25" s="98">
        <f>C25*E24</f>
        <v>2640</v>
      </c>
      <c r="F25" s="9"/>
      <c r="G25" s="24" t="s">
        <v>10</v>
      </c>
      <c r="H25" s="3"/>
      <c r="I25" s="53">
        <f>I28/I29</f>
        <v>14821338.156521739</v>
      </c>
      <c r="J25" s="10"/>
      <c r="K25" s="12"/>
      <c r="L25" s="94"/>
      <c r="M25" s="99"/>
      <c r="N25" s="99"/>
      <c r="O25" s="99"/>
      <c r="P25" s="99"/>
      <c r="Q25" s="99"/>
      <c r="R25" s="99"/>
      <c r="S25" s="99"/>
      <c r="T25" s="99"/>
      <c r="U25" s="99"/>
      <c r="V25" s="99"/>
      <c r="W25" s="99"/>
    </row>
    <row r="26" spans="1:23" ht="16" customHeight="1" x14ac:dyDescent="0.15">
      <c r="A26" s="78" t="s">
        <v>41</v>
      </c>
      <c r="B26" s="100" t="s">
        <v>42</v>
      </c>
      <c r="C26" s="101">
        <f>E8/E24</f>
        <v>1477.2727272727273</v>
      </c>
      <c r="D26" s="80" t="s">
        <v>43</v>
      </c>
      <c r="E26" s="102"/>
      <c r="F26" s="9"/>
      <c r="G26" s="24" t="s">
        <v>12</v>
      </c>
      <c r="H26" s="3"/>
      <c r="I26" s="103">
        <v>0.64</v>
      </c>
      <c r="J26" s="104"/>
      <c r="K26" s="12"/>
      <c r="L26" s="94"/>
      <c r="M26" s="99"/>
      <c r="N26" s="99"/>
      <c r="O26" s="99"/>
      <c r="P26" s="99"/>
      <c r="Q26" s="99"/>
      <c r="R26" s="99"/>
      <c r="S26" s="99"/>
      <c r="T26" s="99"/>
      <c r="U26" s="99"/>
      <c r="V26" s="99"/>
      <c r="W26" s="99"/>
    </row>
    <row r="27" spans="1:23" ht="16" customHeight="1" x14ac:dyDescent="0.15">
      <c r="A27" s="78" t="s">
        <v>44</v>
      </c>
      <c r="B27" s="105"/>
      <c r="C27" s="90"/>
      <c r="D27" s="90"/>
      <c r="E27" s="102"/>
      <c r="F27" s="9"/>
      <c r="G27" s="24" t="s">
        <v>45</v>
      </c>
      <c r="H27" s="3"/>
      <c r="I27" s="106">
        <f>I25/E18</f>
        <v>400.57670693301998</v>
      </c>
      <c r="J27" s="107"/>
      <c r="K27" s="12"/>
      <c r="L27" s="108"/>
      <c r="M27" s="99"/>
      <c r="N27" s="99"/>
      <c r="O27" s="99"/>
      <c r="P27" s="99"/>
      <c r="Q27" s="99"/>
      <c r="R27" s="99"/>
      <c r="S27" s="99"/>
      <c r="T27" s="99"/>
      <c r="U27" s="99"/>
      <c r="V27" s="99"/>
      <c r="W27" s="99"/>
    </row>
    <row r="28" spans="1:23" ht="16" customHeight="1" x14ac:dyDescent="0.15">
      <c r="A28" s="87"/>
      <c r="B28" s="105"/>
      <c r="C28" s="90"/>
      <c r="D28" s="90"/>
      <c r="E28" s="82"/>
      <c r="F28" s="9"/>
      <c r="G28" s="24" t="s">
        <v>46</v>
      </c>
      <c r="H28" s="49">
        <f>J67</f>
        <v>852226.94400000002</v>
      </c>
      <c r="I28" s="50">
        <f>H28</f>
        <v>852226.94400000002</v>
      </c>
      <c r="J28" s="10"/>
      <c r="K28" s="12"/>
      <c r="L28" s="94"/>
      <c r="M28" s="99"/>
      <c r="N28" s="99"/>
      <c r="O28" s="99"/>
      <c r="P28" s="99"/>
      <c r="Q28" s="99"/>
      <c r="R28" s="99"/>
      <c r="S28" s="99"/>
      <c r="T28" s="99"/>
      <c r="U28" s="99"/>
      <c r="V28" s="99"/>
      <c r="W28" s="99"/>
    </row>
    <row r="29" spans="1:23" ht="16" customHeight="1" x14ac:dyDescent="0.15">
      <c r="A29" s="109" t="s">
        <v>47</v>
      </c>
      <c r="B29" s="110"/>
      <c r="C29" s="111"/>
      <c r="D29" s="111"/>
      <c r="E29" s="112">
        <v>2000000</v>
      </c>
      <c r="F29" s="9"/>
      <c r="G29" s="24" t="s">
        <v>48</v>
      </c>
      <c r="H29" s="3"/>
      <c r="I29" s="113">
        <v>5.7500000000000002E-2</v>
      </c>
      <c r="J29" s="114">
        <f>E72/(E48-H55)</f>
        <v>6.8470817559737288E-2</v>
      </c>
      <c r="K29" s="44" t="s">
        <v>49</v>
      </c>
      <c r="L29" s="94"/>
      <c r="M29" s="99"/>
      <c r="N29" s="99"/>
      <c r="O29" s="99"/>
      <c r="P29" s="99"/>
      <c r="Q29" s="99"/>
      <c r="R29" s="99"/>
      <c r="S29" s="99"/>
      <c r="T29" s="99"/>
      <c r="U29" s="99"/>
      <c r="V29" s="99"/>
      <c r="W29" s="99"/>
    </row>
    <row r="30" spans="1:23" ht="16" customHeight="1" x14ac:dyDescent="0.15">
      <c r="A30" s="62"/>
      <c r="B30" s="62"/>
      <c r="C30" s="62"/>
      <c r="D30" s="62"/>
      <c r="E30" s="62"/>
      <c r="F30" s="115"/>
      <c r="G30" s="31" t="s">
        <v>50</v>
      </c>
      <c r="H30" s="49">
        <f>MIN(H21,I21)</f>
        <v>9485656.4201739132</v>
      </c>
      <c r="I30" s="42"/>
      <c r="J30" s="10"/>
      <c r="K30" s="12"/>
      <c r="L30" s="94"/>
      <c r="M30" s="99"/>
      <c r="N30" s="99"/>
      <c r="O30" s="99"/>
      <c r="P30" s="99"/>
      <c r="Q30" s="99"/>
      <c r="R30" s="99"/>
      <c r="S30" s="99"/>
      <c r="T30" s="99"/>
      <c r="U30" s="99"/>
      <c r="V30" s="99"/>
      <c r="W30" s="99"/>
    </row>
    <row r="31" spans="1:23" ht="16" customHeight="1" x14ac:dyDescent="0.15">
      <c r="A31" s="459" t="s">
        <v>51</v>
      </c>
      <c r="B31" s="460"/>
      <c r="C31" s="460"/>
      <c r="D31" s="460"/>
      <c r="E31" s="461"/>
      <c r="F31" s="9"/>
      <c r="G31" s="58" t="s">
        <v>52</v>
      </c>
      <c r="H31" s="116">
        <f>PMT(H22/12,H23*12,H30,0)*12</f>
        <v>-665426.43364798755</v>
      </c>
      <c r="I31" s="60"/>
      <c r="J31" s="10"/>
      <c r="K31" s="12"/>
      <c r="L31" s="94"/>
      <c r="M31" s="99"/>
      <c r="N31" s="99"/>
      <c r="O31" s="99"/>
      <c r="P31" s="99"/>
      <c r="Q31" s="99"/>
      <c r="R31" s="99"/>
      <c r="S31" s="99"/>
      <c r="T31" s="99"/>
      <c r="U31" s="99"/>
      <c r="V31" s="99"/>
      <c r="W31" s="99"/>
    </row>
    <row r="32" spans="1:23" ht="16" customHeight="1" x14ac:dyDescent="0.15">
      <c r="A32" s="117" t="s">
        <v>53</v>
      </c>
      <c r="B32" s="118"/>
      <c r="C32" s="119">
        <f>E32/E6</f>
        <v>200</v>
      </c>
      <c r="D32" s="120" t="s">
        <v>54</v>
      </c>
      <c r="E32" s="121">
        <f>E29</f>
        <v>2000000</v>
      </c>
      <c r="F32" s="10"/>
      <c r="G32" s="62"/>
      <c r="H32" s="62"/>
      <c r="I32" s="62"/>
      <c r="J32" s="3"/>
      <c r="K32" s="3"/>
      <c r="L32" s="94"/>
      <c r="M32" s="99"/>
      <c r="N32" s="99"/>
      <c r="O32" s="99"/>
      <c r="P32" s="99"/>
      <c r="Q32" s="99"/>
      <c r="R32" s="99"/>
      <c r="S32" s="99"/>
      <c r="T32" s="99"/>
      <c r="U32" s="99"/>
      <c r="V32" s="99"/>
      <c r="W32" s="99"/>
    </row>
    <row r="33" spans="1:23" ht="16" customHeight="1" x14ac:dyDescent="0.15">
      <c r="A33" s="31" t="s">
        <v>55</v>
      </c>
      <c r="B33" s="122"/>
      <c r="C33" s="123">
        <v>149</v>
      </c>
      <c r="D33" s="124" t="s">
        <v>54</v>
      </c>
      <c r="E33" s="125">
        <f>C33*E17</f>
        <v>6410465.1162790693</v>
      </c>
      <c r="F33" s="9"/>
      <c r="G33" s="126" t="s">
        <v>56</v>
      </c>
      <c r="H33" s="127"/>
      <c r="I33" s="127"/>
      <c r="J33" s="10"/>
      <c r="K33" s="128"/>
      <c r="L33" s="94"/>
      <c r="M33" s="99"/>
      <c r="N33" s="99"/>
      <c r="O33" s="99"/>
      <c r="P33" s="99"/>
      <c r="Q33" s="99"/>
      <c r="R33" s="99"/>
      <c r="S33" s="99"/>
      <c r="T33" s="99"/>
      <c r="U33" s="99"/>
      <c r="V33" s="99"/>
      <c r="W33" s="99"/>
    </row>
    <row r="34" spans="1:23" ht="16" customHeight="1" x14ac:dyDescent="0.15">
      <c r="A34" s="31" t="s">
        <v>57</v>
      </c>
      <c r="B34" s="122"/>
      <c r="C34" s="123">
        <v>80</v>
      </c>
      <c r="D34" s="124" t="s">
        <v>58</v>
      </c>
      <c r="E34" s="98">
        <f>C34*E12</f>
        <v>0</v>
      </c>
      <c r="F34" s="9"/>
      <c r="G34" s="13" t="s">
        <v>59</v>
      </c>
      <c r="H34" s="14"/>
      <c r="I34" s="129">
        <f>E48</f>
        <v>12696450.249263223</v>
      </c>
      <c r="J34" s="10"/>
      <c r="K34" s="12"/>
      <c r="L34" s="94"/>
      <c r="M34" s="99"/>
      <c r="N34" s="99"/>
      <c r="O34" s="99"/>
      <c r="P34" s="99"/>
      <c r="Q34" s="99"/>
      <c r="R34" s="99"/>
      <c r="S34" s="99"/>
      <c r="T34" s="99"/>
      <c r="U34" s="99"/>
      <c r="V34" s="99"/>
      <c r="W34" s="99"/>
    </row>
    <row r="35" spans="1:23" ht="16" customHeight="1" x14ac:dyDescent="0.15">
      <c r="A35" s="31" t="s">
        <v>60</v>
      </c>
      <c r="B35" s="130"/>
      <c r="C35" s="123">
        <v>15</v>
      </c>
      <c r="D35" s="124" t="s">
        <v>58</v>
      </c>
      <c r="E35" s="98">
        <f>'Soft Costs 2'!I14</f>
        <v>487500</v>
      </c>
      <c r="F35" s="9"/>
      <c r="G35" s="24" t="s">
        <v>61</v>
      </c>
      <c r="H35" s="45">
        <v>1</v>
      </c>
      <c r="I35" s="131">
        <v>0</v>
      </c>
      <c r="J35" s="10"/>
      <c r="K35" s="12"/>
      <c r="L35" s="94"/>
      <c r="M35" s="99"/>
      <c r="N35" s="99"/>
      <c r="O35" s="99"/>
      <c r="P35" s="99"/>
      <c r="Q35" s="99"/>
      <c r="R35" s="99"/>
      <c r="S35" s="99"/>
      <c r="T35" s="99"/>
      <c r="U35" s="99"/>
      <c r="V35" s="99"/>
      <c r="W35" s="99"/>
    </row>
    <row r="36" spans="1:23" ht="16" customHeight="1" x14ac:dyDescent="0.15">
      <c r="A36" s="31" t="s">
        <v>62</v>
      </c>
      <c r="B36" s="11"/>
      <c r="C36" s="132" t="s">
        <v>63</v>
      </c>
      <c r="D36" s="133"/>
      <c r="E36" s="125">
        <f>'Soft Costs 2'!I13</f>
        <v>462000</v>
      </c>
      <c r="F36" s="134"/>
      <c r="G36" s="24" t="s">
        <v>64</v>
      </c>
      <c r="H36" s="453">
        <v>0.5</v>
      </c>
      <c r="I36" s="131">
        <f>-H36*'Soft Costs 2'!I43</f>
        <v>-360000</v>
      </c>
      <c r="J36" s="135">
        <f>('Soft Costs 2'!I43+I36)/21</f>
        <v>17142.857142857141</v>
      </c>
      <c r="K36" s="44" t="s">
        <v>262</v>
      </c>
      <c r="L36" s="94"/>
      <c r="M36" s="99"/>
      <c r="N36" s="99"/>
      <c r="O36" s="99"/>
      <c r="P36" s="99"/>
      <c r="Q36" s="99"/>
      <c r="R36" s="99"/>
      <c r="S36" s="99"/>
      <c r="T36" s="99"/>
      <c r="U36" s="99"/>
      <c r="V36" s="99"/>
      <c r="W36" s="99"/>
    </row>
    <row r="37" spans="1:23" ht="16" customHeight="1" x14ac:dyDescent="0.15">
      <c r="A37" s="31" t="s">
        <v>65</v>
      </c>
      <c r="B37" s="11"/>
      <c r="C37" s="136">
        <f>'Soft Costs 2'!C17</f>
        <v>7.0000000000000007E-2</v>
      </c>
      <c r="D37" s="137" t="s">
        <v>66</v>
      </c>
      <c r="E37" s="138">
        <f>'Soft Costs 2'!I17</f>
        <v>448732.5581395349</v>
      </c>
      <c r="F37" s="134"/>
      <c r="G37" s="392" t="s">
        <v>258</v>
      </c>
      <c r="H37" s="453">
        <v>1</v>
      </c>
      <c r="I37" s="131">
        <f>H37*-'Soft Costs 2'!I44</f>
        <v>-480000</v>
      </c>
      <c r="J37" s="431">
        <f>(I37+'Soft Costs 2'!I44)/21</f>
        <v>0</v>
      </c>
      <c r="K37" s="433" t="s">
        <v>266</v>
      </c>
      <c r="L37" s="434"/>
      <c r="M37" s="435"/>
      <c r="N37" s="436"/>
      <c r="O37" s="99"/>
      <c r="P37" s="99"/>
      <c r="Q37" s="99"/>
      <c r="R37" s="140"/>
      <c r="S37" s="99"/>
      <c r="T37" s="99"/>
      <c r="U37" s="99"/>
      <c r="V37" s="99"/>
      <c r="W37" s="99"/>
    </row>
    <row r="38" spans="1:23" ht="16" customHeight="1" x14ac:dyDescent="0.15">
      <c r="A38" s="31" t="s">
        <v>67</v>
      </c>
      <c r="B38" s="11"/>
      <c r="C38" s="136">
        <f>E38/(E34+E33)</f>
        <v>4.051188100852531E-3</v>
      </c>
      <c r="D38" s="137" t="s">
        <v>66</v>
      </c>
      <c r="E38" s="141">
        <f>'Soft Costs 2'!K31</f>
        <v>25970</v>
      </c>
      <c r="F38" s="134"/>
      <c r="G38" s="24" t="s">
        <v>259</v>
      </c>
      <c r="H38" s="45">
        <v>0.28000000000000003</v>
      </c>
      <c r="I38" s="131">
        <f>-(I36+I37)*H38</f>
        <v>235200.00000000003</v>
      </c>
      <c r="J38" s="445">
        <f>J36</f>
        <v>17142.857142857141</v>
      </c>
      <c r="K38" s="446" t="s">
        <v>263</v>
      </c>
      <c r="L38" s="447">
        <f>J38/2</f>
        <v>8571.4285714285706</v>
      </c>
      <c r="M38" s="446" t="s">
        <v>264</v>
      </c>
      <c r="N38" s="448">
        <f>J37</f>
        <v>0</v>
      </c>
      <c r="P38" s="144"/>
      <c r="Q38" s="144"/>
      <c r="R38" s="144"/>
      <c r="S38" s="144"/>
      <c r="T38" s="144"/>
      <c r="U38" s="144"/>
      <c r="V38" s="144"/>
      <c r="W38" s="144"/>
    </row>
    <row r="39" spans="1:23" ht="16" customHeight="1" x14ac:dyDescent="0.15">
      <c r="A39" s="31" t="s">
        <v>69</v>
      </c>
      <c r="B39" s="11"/>
      <c r="C39" s="136">
        <f>E39/(E33+E34)</f>
        <v>4.4999999999999998E-2</v>
      </c>
      <c r="D39" s="137" t="s">
        <v>66</v>
      </c>
      <c r="E39" s="141">
        <f>'Soft Costs 2'!K40</f>
        <v>288470.93023255811</v>
      </c>
      <c r="F39" s="134"/>
      <c r="G39" s="24" t="s">
        <v>68</v>
      </c>
      <c r="H39" s="12"/>
      <c r="I39" s="142">
        <f>-H30</f>
        <v>-9485656.4201739132</v>
      </c>
      <c r="J39" s="143"/>
      <c r="K39" s="139"/>
      <c r="L39" s="94"/>
      <c r="M39" s="99"/>
      <c r="N39" s="99"/>
      <c r="O39" s="99"/>
      <c r="P39" s="99"/>
      <c r="Q39" s="99"/>
      <c r="R39" s="99"/>
      <c r="S39" s="99"/>
      <c r="T39" s="99"/>
      <c r="U39" s="99"/>
      <c r="V39" s="99"/>
      <c r="W39" s="99"/>
    </row>
    <row r="40" spans="1:23" ht="16" customHeight="1" x14ac:dyDescent="0.15">
      <c r="A40" s="31" t="s">
        <v>71</v>
      </c>
      <c r="B40" s="11"/>
      <c r="C40" s="136">
        <f>E40/I25</f>
        <v>8.0964349327120072E-2</v>
      </c>
      <c r="D40" s="137" t="s">
        <v>72</v>
      </c>
      <c r="E40" s="141">
        <f>'Soft Costs 2'!K49</f>
        <v>1200000</v>
      </c>
      <c r="F40" s="134"/>
      <c r="G40" s="24" t="s">
        <v>70</v>
      </c>
      <c r="H40" s="45">
        <f>I40/-'Soft Costs 2'!I33</f>
        <v>0.24265876614869905</v>
      </c>
      <c r="I40" s="142">
        <v>-70000</v>
      </c>
      <c r="J40" s="10"/>
      <c r="K40" s="452">
        <v>0.62</v>
      </c>
      <c r="L40" s="450" t="s">
        <v>268</v>
      </c>
      <c r="M40" s="451"/>
      <c r="N40" s="99"/>
      <c r="O40" s="99"/>
      <c r="P40" s="99"/>
      <c r="Q40" s="99"/>
      <c r="R40" s="99"/>
      <c r="S40" s="99"/>
      <c r="T40" s="99"/>
      <c r="U40" s="99"/>
      <c r="V40" s="99"/>
      <c r="W40" s="99"/>
    </row>
    <row r="41" spans="1:23" ht="16" customHeight="1" x14ac:dyDescent="0.15">
      <c r="A41" s="31" t="s">
        <v>73</v>
      </c>
      <c r="B41" s="11"/>
      <c r="C41" s="136">
        <f>E41/(E33+E34)</f>
        <v>9.2811929076727737E-2</v>
      </c>
      <c r="D41" s="137" t="s">
        <v>66</v>
      </c>
      <c r="E41" s="141">
        <f>'Soft Costs 2'!K70</f>
        <v>594967.6337209302</v>
      </c>
      <c r="F41" s="134"/>
      <c r="G41" s="24" t="s">
        <v>261</v>
      </c>
      <c r="H41" s="45">
        <f>I41/-'Soft Costs 2'!I99</f>
        <v>0</v>
      </c>
      <c r="I41" s="142">
        <v>0</v>
      </c>
      <c r="J41" s="10" t="s">
        <v>265</v>
      </c>
      <c r="K41" s="3"/>
      <c r="L41" s="3"/>
      <c r="M41" s="3"/>
      <c r="N41" s="3"/>
      <c r="O41" s="3"/>
      <c r="P41" s="3"/>
      <c r="Q41" s="3"/>
      <c r="R41" s="3"/>
      <c r="S41" s="3"/>
      <c r="T41" s="3"/>
      <c r="U41" s="3"/>
      <c r="V41" s="3"/>
      <c r="W41" s="3"/>
    </row>
    <row r="42" spans="1:23" ht="16" customHeight="1" x14ac:dyDescent="0.15">
      <c r="A42" s="31" t="s">
        <v>74</v>
      </c>
      <c r="B42" s="11"/>
      <c r="C42" s="136">
        <f>E42/(E33+E34)</f>
        <v>3.1198984219118447E-3</v>
      </c>
      <c r="D42" s="137" t="s">
        <v>66</v>
      </c>
      <c r="E42" s="141">
        <f>'Soft Costs 2'!K77</f>
        <v>20000</v>
      </c>
      <c r="F42" s="134"/>
      <c r="G42" s="24" t="s">
        <v>75</v>
      </c>
      <c r="H42" s="3"/>
      <c r="I42" s="145">
        <f>I34-I43+I35+I36+I38+I39+I40+I41+I37</f>
        <v>35993.82908931002</v>
      </c>
      <c r="J42" s="10"/>
      <c r="K42" s="3"/>
      <c r="L42" s="3"/>
      <c r="M42" s="3"/>
      <c r="N42" s="3"/>
      <c r="O42" s="3"/>
      <c r="P42" s="3"/>
      <c r="Q42" s="3"/>
      <c r="R42" s="3"/>
      <c r="S42" s="3"/>
      <c r="T42" s="3"/>
      <c r="U42" s="3"/>
      <c r="V42" s="3"/>
      <c r="W42" s="3"/>
    </row>
    <row r="43" spans="1:23" ht="16" customHeight="1" x14ac:dyDescent="0.15">
      <c r="A43" s="31" t="s">
        <v>76</v>
      </c>
      <c r="B43" s="11"/>
      <c r="C43" s="136">
        <f>E43/(E33+E34)</f>
        <v>9.4936014759000945E-2</v>
      </c>
      <c r="D43" s="137" t="s">
        <v>66</v>
      </c>
      <c r="E43" s="141">
        <f>'Soft Costs 2'!K86</f>
        <v>608584.01089113043</v>
      </c>
      <c r="F43" s="134"/>
      <c r="G43" s="24" t="s">
        <v>77</v>
      </c>
      <c r="H43" s="142"/>
      <c r="I43" s="146">
        <f>H51</f>
        <v>2500000</v>
      </c>
      <c r="J43" s="135"/>
      <c r="K43" s="12"/>
      <c r="L43" s="94"/>
      <c r="M43" s="99"/>
      <c r="N43" s="99"/>
      <c r="O43" s="99"/>
      <c r="P43" s="99"/>
      <c r="Q43" s="99"/>
      <c r="R43" s="99"/>
      <c r="S43" s="99"/>
      <c r="T43" s="99"/>
      <c r="U43" s="99"/>
      <c r="V43" s="99"/>
      <c r="W43" s="99"/>
    </row>
    <row r="44" spans="1:23" ht="16" customHeight="1" x14ac:dyDescent="0.15">
      <c r="A44" s="31" t="s">
        <v>78</v>
      </c>
      <c r="B44" s="11"/>
      <c r="C44" s="136">
        <f>E44/(E33+E34)</f>
        <v>0</v>
      </c>
      <c r="D44" s="137" t="s">
        <v>66</v>
      </c>
      <c r="E44" s="141">
        <f>'Soft Costs 2'!K92</f>
        <v>0</v>
      </c>
      <c r="F44" s="134"/>
      <c r="G44" s="24" t="s">
        <v>79</v>
      </c>
      <c r="H44" s="12"/>
      <c r="I44" s="147">
        <f>E72</f>
        <v>827404.80000000005</v>
      </c>
      <c r="J44" s="10"/>
      <c r="K44" s="12"/>
      <c r="L44" s="108"/>
      <c r="M44" s="99"/>
      <c r="N44" s="99"/>
      <c r="O44" s="99"/>
      <c r="P44" s="99"/>
      <c r="Q44" s="99"/>
      <c r="R44" s="99"/>
      <c r="S44" s="99"/>
      <c r="T44" s="99"/>
      <c r="U44" s="99"/>
      <c r="V44" s="99"/>
      <c r="W44" s="99"/>
    </row>
    <row r="45" spans="1:23" ht="16.5" customHeight="1" x14ac:dyDescent="0.15">
      <c r="A45" s="148" t="s">
        <v>80</v>
      </c>
      <c r="B45" s="149"/>
      <c r="C45" s="150">
        <f>E45/(E33+E34)</f>
        <v>2.3361799383275896E-2</v>
      </c>
      <c r="D45" s="151" t="s">
        <v>66</v>
      </c>
      <c r="E45" s="152">
        <f>'Soft Costs 2'!K102</f>
        <v>149760</v>
      </c>
      <c r="F45" s="134"/>
      <c r="G45" s="24" t="s">
        <v>81</v>
      </c>
      <c r="H45" s="12"/>
      <c r="I45" s="131">
        <f>PMT(I22/12,H23*12,H30,0)*12</f>
        <v>-632692.30957455793</v>
      </c>
      <c r="J45" s="10"/>
      <c r="K45" s="12"/>
      <c r="L45" s="94"/>
      <c r="M45" s="153"/>
      <c r="N45" s="153"/>
      <c r="O45" s="153"/>
      <c r="P45" s="153"/>
      <c r="Q45" s="153"/>
      <c r="R45" s="153"/>
      <c r="S45" s="153"/>
      <c r="T45" s="153"/>
      <c r="U45" s="153"/>
      <c r="V45" s="153"/>
      <c r="W45" s="153"/>
    </row>
    <row r="46" spans="1:23" ht="17" customHeight="1" x14ac:dyDescent="0.15">
      <c r="A46" s="154" t="s">
        <v>82</v>
      </c>
      <c r="B46" s="155"/>
      <c r="C46" s="156">
        <f>SUM(E37:E45)/E17</f>
        <v>77.550735523415469</v>
      </c>
      <c r="D46" s="157" t="s">
        <v>83</v>
      </c>
      <c r="E46" s="158">
        <f>SUM(E38:E45)</f>
        <v>2887752.5748446183</v>
      </c>
      <c r="F46" s="159"/>
      <c r="G46" s="160"/>
      <c r="H46" s="161"/>
      <c r="I46" s="162"/>
      <c r="J46" s="10"/>
      <c r="K46" s="12"/>
      <c r="L46" s="108"/>
      <c r="M46" s="99"/>
      <c r="N46" s="99"/>
      <c r="O46" s="99"/>
      <c r="P46" s="99"/>
      <c r="Q46" s="99"/>
      <c r="R46" s="99"/>
      <c r="S46" s="99"/>
      <c r="T46" s="99"/>
      <c r="U46" s="99"/>
      <c r="V46" s="99"/>
      <c r="W46" s="99"/>
    </row>
    <row r="47" spans="1:23" ht="17" customHeight="1" x14ac:dyDescent="0.15">
      <c r="A47" s="163"/>
      <c r="B47" s="164"/>
      <c r="C47" s="165"/>
      <c r="D47" s="166"/>
      <c r="E47" s="167"/>
      <c r="F47" s="168"/>
      <c r="G47" s="169" t="s">
        <v>84</v>
      </c>
      <c r="H47" s="170"/>
      <c r="I47" s="171">
        <f>I44+I45+I46</f>
        <v>194712.49042544211</v>
      </c>
      <c r="J47" s="2"/>
      <c r="K47" s="3"/>
      <c r="L47" s="12"/>
      <c r="M47" s="99"/>
      <c r="N47" s="99"/>
      <c r="O47" s="99"/>
      <c r="P47" s="99"/>
      <c r="Q47" s="99"/>
      <c r="R47" s="99"/>
      <c r="S47" s="99"/>
      <c r="T47" s="172"/>
      <c r="U47" s="12"/>
      <c r="V47" s="12"/>
      <c r="W47" s="3"/>
    </row>
    <row r="48" spans="1:23" ht="17" customHeight="1" x14ac:dyDescent="0.15">
      <c r="A48" s="173" t="s">
        <v>85</v>
      </c>
      <c r="B48" s="174"/>
      <c r="C48" s="175">
        <f>C32+C34+C46</f>
        <v>357.55073552341548</v>
      </c>
      <c r="D48" s="157" t="s">
        <v>58</v>
      </c>
      <c r="E48" s="176">
        <f>SUM(E32:E45)</f>
        <v>12696450.249263223</v>
      </c>
      <c r="F48" s="177"/>
      <c r="G48" s="178" t="s">
        <v>86</v>
      </c>
      <c r="H48" s="179"/>
      <c r="I48" s="455">
        <f>(H51+0)/(E48+I36+I38+I40)</f>
        <v>0.19997359949718124</v>
      </c>
      <c r="J48" s="104" t="s">
        <v>272</v>
      </c>
      <c r="K48" s="3"/>
      <c r="L48" s="180"/>
      <c r="M48" s="99"/>
      <c r="N48" s="99"/>
      <c r="O48" s="99"/>
      <c r="P48" s="99"/>
      <c r="Q48" s="99"/>
      <c r="R48" s="99"/>
      <c r="S48" s="99"/>
      <c r="T48" s="181"/>
      <c r="U48" s="182"/>
      <c r="V48" s="12"/>
      <c r="W48" s="3"/>
    </row>
    <row r="49" spans="1:23" ht="16.5" customHeight="1" x14ac:dyDescent="0.15">
      <c r="A49" s="183"/>
      <c r="B49" s="184"/>
      <c r="C49" s="185"/>
      <c r="D49" s="185"/>
      <c r="E49" s="186"/>
      <c r="F49" s="187"/>
      <c r="G49" s="126" t="s">
        <v>87</v>
      </c>
      <c r="H49" s="127"/>
      <c r="I49" s="127"/>
      <c r="J49" s="188"/>
      <c r="K49" s="189"/>
      <c r="L49" s="189"/>
      <c r="M49" s="189"/>
      <c r="N49" s="189"/>
      <c r="O49" s="189"/>
      <c r="P49" s="189"/>
      <c r="Q49" s="189"/>
      <c r="R49" s="12"/>
      <c r="S49" s="12"/>
      <c r="T49" s="12"/>
      <c r="U49" s="12"/>
      <c r="V49" s="12"/>
      <c r="W49" s="3"/>
    </row>
    <row r="50" spans="1:23" ht="16" customHeight="1" x14ac:dyDescent="0.15">
      <c r="A50" s="459" t="s">
        <v>88</v>
      </c>
      <c r="B50" s="460"/>
      <c r="C50" s="460"/>
      <c r="D50" s="460"/>
      <c r="E50" s="461"/>
      <c r="F50" s="190"/>
      <c r="G50" s="191"/>
      <c r="H50" s="192"/>
      <c r="I50" s="193" t="s">
        <v>90</v>
      </c>
      <c r="J50" s="194" t="s">
        <v>91</v>
      </c>
      <c r="K50" s="194" t="s">
        <v>92</v>
      </c>
      <c r="L50" s="194" t="s">
        <v>93</v>
      </c>
      <c r="M50" s="194" t="s">
        <v>94</v>
      </c>
      <c r="N50" s="194" t="s">
        <v>95</v>
      </c>
      <c r="O50" s="194" t="s">
        <v>96</v>
      </c>
      <c r="P50" s="194" t="s">
        <v>97</v>
      </c>
      <c r="Q50" s="194" t="s">
        <v>267</v>
      </c>
      <c r="R50" s="12"/>
      <c r="S50" s="12"/>
      <c r="T50" s="12"/>
      <c r="U50" s="12"/>
      <c r="V50" s="12"/>
      <c r="W50" s="12"/>
    </row>
    <row r="51" spans="1:23" ht="16" customHeight="1" x14ac:dyDescent="0.15">
      <c r="A51" s="13" t="s">
        <v>98</v>
      </c>
      <c r="B51" s="14"/>
      <c r="C51" s="195">
        <f>B20</f>
        <v>26</v>
      </c>
      <c r="D51" s="196"/>
      <c r="E51" s="147">
        <f>C51*E8</f>
        <v>845000</v>
      </c>
      <c r="F51" s="197"/>
      <c r="G51" s="198" t="s">
        <v>269</v>
      </c>
      <c r="H51" s="199">
        <v>2500000</v>
      </c>
      <c r="I51" s="200">
        <f>H51*I52</f>
        <v>200000</v>
      </c>
      <c r="J51" s="201">
        <f>I51</f>
        <v>200000</v>
      </c>
      <c r="K51" s="200">
        <f>J51</f>
        <v>200000</v>
      </c>
      <c r="L51" s="201">
        <f>K51</f>
        <v>200000</v>
      </c>
      <c r="M51" s="202">
        <f>M69*H52</f>
        <v>218884.95766989019</v>
      </c>
      <c r="N51" s="202">
        <f>H52*N69</f>
        <v>239367.02640529239</v>
      </c>
      <c r="O51" s="202">
        <f>H52*O69</f>
        <v>260463.55720275673</v>
      </c>
      <c r="P51" s="203">
        <f>H52*P69</f>
        <v>282192.98392414488</v>
      </c>
      <c r="Q51" s="204">
        <f>H52*(Q69+Q76)</f>
        <v>8403856.6465951055</v>
      </c>
      <c r="R51" s="205"/>
      <c r="S51" s="205"/>
      <c r="T51" s="205"/>
      <c r="U51" s="205"/>
      <c r="V51" s="205"/>
      <c r="W51" s="205"/>
    </row>
    <row r="52" spans="1:23" ht="16" customHeight="1" x14ac:dyDescent="0.15">
      <c r="A52" s="33"/>
      <c r="B52" s="12"/>
      <c r="C52" s="206"/>
      <c r="D52" s="12"/>
      <c r="E52" s="131"/>
      <c r="F52" s="207"/>
      <c r="G52" s="208"/>
      <c r="H52" s="209">
        <f>H51/-G79</f>
        <v>0.73313782991202348</v>
      </c>
      <c r="I52" s="210">
        <v>0.08</v>
      </c>
      <c r="J52" s="211">
        <f>J51/H51</f>
        <v>0.08</v>
      </c>
      <c r="K52" s="210">
        <f>K51/H51</f>
        <v>0.08</v>
      </c>
      <c r="L52" s="211">
        <f>L51/H51</f>
        <v>0.08</v>
      </c>
      <c r="M52" s="212">
        <f>M51/H51</f>
        <v>8.7553983067956073E-2</v>
      </c>
      <c r="N52" s="41">
        <f>N51/H51</f>
        <v>9.5746810562116952E-2</v>
      </c>
      <c r="O52" s="213">
        <f>O51/H51</f>
        <v>0.10418542288110269</v>
      </c>
      <c r="P52" s="211">
        <f>P51/H51</f>
        <v>0.11287719356965795</v>
      </c>
      <c r="Q52" s="212">
        <f>Q51/H51</f>
        <v>3.3615426586380424</v>
      </c>
      <c r="R52" s="49"/>
      <c r="S52" s="49"/>
      <c r="T52" s="49"/>
      <c r="U52" s="49"/>
      <c r="V52" s="49"/>
      <c r="W52" s="49"/>
    </row>
    <row r="53" spans="1:23" ht="16" customHeight="1" x14ac:dyDescent="0.15">
      <c r="A53" s="24" t="s">
        <v>99</v>
      </c>
      <c r="B53" s="12"/>
      <c r="C53" s="214">
        <f>B21</f>
        <v>26</v>
      </c>
      <c r="D53" s="12"/>
      <c r="E53" s="131">
        <f>C53*E9</f>
        <v>91000</v>
      </c>
      <c r="F53" s="215"/>
      <c r="G53" s="198" t="s">
        <v>277</v>
      </c>
      <c r="H53" s="432">
        <f>-I41-(I37*K40)</f>
        <v>297600</v>
      </c>
      <c r="I53" s="200">
        <f>(I69-I51)*((H53/(H55+H53)))</f>
        <v>-1729.189944382887</v>
      </c>
      <c r="J53" s="201">
        <f>(J69-J51)*G54</f>
        <v>6388.4694560566641</v>
      </c>
      <c r="K53" s="200">
        <f>(K69-K51)*G54</f>
        <v>14749.658638509434</v>
      </c>
      <c r="L53" s="201">
        <f>(L69-L51)*G54</f>
        <v>23361.683496435748</v>
      </c>
      <c r="M53" s="200">
        <f>H54*M69</f>
        <v>26056.065361023731</v>
      </c>
      <c r="N53" s="200">
        <f>H54*N69</f>
        <v>28494.250823286009</v>
      </c>
      <c r="O53" s="200">
        <f>H54*O69</f>
        <v>31005.581849416161</v>
      </c>
      <c r="P53" s="216">
        <f>H54*P69</f>
        <v>33592.252806330209</v>
      </c>
      <c r="Q53" s="216">
        <f>H54*(Q69+Q76)</f>
        <v>1000395.0952106813</v>
      </c>
      <c r="R53" s="212"/>
      <c r="S53" s="41"/>
      <c r="T53" s="41"/>
      <c r="U53" s="41"/>
      <c r="V53" s="41"/>
      <c r="W53" s="41"/>
    </row>
    <row r="54" spans="1:23" ht="16" customHeight="1" x14ac:dyDescent="0.15">
      <c r="A54" s="24" t="s">
        <v>100</v>
      </c>
      <c r="B54" s="3"/>
      <c r="C54" s="214">
        <f>B22</f>
        <v>26</v>
      </c>
      <c r="D54" s="3"/>
      <c r="E54" s="131">
        <f>C54*E10</f>
        <v>0</v>
      </c>
      <c r="F54" s="190"/>
      <c r="G54" s="449">
        <f>H53/(H55+H53)</f>
        <v>0.32703296703296703</v>
      </c>
      <c r="H54" s="209">
        <f>H53/-G79</f>
        <v>8.727272727272728E-2</v>
      </c>
      <c r="I54" s="210">
        <f>I53/H53</f>
        <v>-5.8104500819317444E-3</v>
      </c>
      <c r="J54" s="210">
        <f>J53/H53</f>
        <v>2.1466631236749543E-2</v>
      </c>
      <c r="K54" s="210">
        <f>K53/H53</f>
        <v>4.9562024994991377E-2</v>
      </c>
      <c r="L54" s="210">
        <f>L53/H53</f>
        <v>7.8500280565980338E-2</v>
      </c>
      <c r="M54" s="210">
        <f>M53/H53</f>
        <v>8.7553983067956087E-2</v>
      </c>
      <c r="N54" s="210">
        <f>N53/H53</f>
        <v>9.5746810562116966E-2</v>
      </c>
      <c r="O54" s="210">
        <f>O53/H53</f>
        <v>0.10418542288110269</v>
      </c>
      <c r="P54" s="210">
        <f>P53/H53</f>
        <v>0.11287719356965796</v>
      </c>
      <c r="Q54" s="210">
        <f>Q53/H53</f>
        <v>3.3615426586380419</v>
      </c>
      <c r="R54" s="217"/>
      <c r="S54" s="12"/>
      <c r="T54" s="12"/>
      <c r="U54" s="12"/>
      <c r="V54" s="12"/>
      <c r="W54" s="12"/>
    </row>
    <row r="55" spans="1:23" ht="16" customHeight="1" x14ac:dyDescent="0.15">
      <c r="A55" s="24" t="s">
        <v>101</v>
      </c>
      <c r="B55" s="3"/>
      <c r="C55" s="218"/>
      <c r="D55" s="3"/>
      <c r="E55" s="131">
        <f>B24*C25*12</f>
        <v>31680</v>
      </c>
      <c r="F55" s="10"/>
      <c r="G55" s="54" t="s">
        <v>276</v>
      </c>
      <c r="H55" s="219">
        <f>-I36-I40-(I37*(1-K40))</f>
        <v>612400</v>
      </c>
      <c r="I55" s="200">
        <f>I69-I51-I53</f>
        <v>-3558.3196301750004</v>
      </c>
      <c r="J55" s="201">
        <f>J69-J51-J53</f>
        <v>13146.16496938542</v>
      </c>
      <c r="K55" s="200">
        <f>K69-K57-K53-K51</f>
        <v>30351.784106932726</v>
      </c>
      <c r="L55" s="201">
        <f>L69-L51-L53</f>
        <v>48073.571818606353</v>
      </c>
      <c r="M55" s="200">
        <f>M69-M51-M53</f>
        <v>53618.059230816289</v>
      </c>
      <c r="N55" s="202">
        <f>N69-N51-N53</f>
        <v>58635.346788240422</v>
      </c>
      <c r="O55" s="202">
        <f>O69-O51-O53</f>
        <v>63803.152972387266</v>
      </c>
      <c r="P55" s="203">
        <f>P69-P51-P53</f>
        <v>69125.9933420585</v>
      </c>
      <c r="Q55" s="204">
        <f>Q76+Q69-Q51-Q53</f>
        <v>2058608.7241499363</v>
      </c>
      <c r="R55" s="12"/>
      <c r="S55" s="12"/>
      <c r="T55" s="12"/>
      <c r="U55" s="12"/>
      <c r="V55" s="12"/>
      <c r="W55" s="12"/>
    </row>
    <row r="56" spans="1:23" ht="16" customHeight="1" x14ac:dyDescent="0.15">
      <c r="A56" s="46" t="s">
        <v>102</v>
      </c>
      <c r="B56" s="12"/>
      <c r="C56" s="214"/>
      <c r="D56" s="218">
        <f>SUM(E51:E55)</f>
        <v>967680</v>
      </c>
      <c r="E56" s="131"/>
      <c r="F56" s="10"/>
      <c r="G56" s="449">
        <f>1-G54</f>
        <v>0.67296703296703297</v>
      </c>
      <c r="H56" s="209">
        <f>H55/-G79</f>
        <v>0.17958944281524927</v>
      </c>
      <c r="I56" s="210">
        <f>I55/H55</f>
        <v>-5.8104500819317444E-3</v>
      </c>
      <c r="J56" s="211">
        <f>J55/H55</f>
        <v>2.1466631236749543E-2</v>
      </c>
      <c r="K56" s="210">
        <f>K55/H55</f>
        <v>4.9562024994991391E-2</v>
      </c>
      <c r="L56" s="211">
        <f>L55/H55</f>
        <v>7.8500280565980324E-2</v>
      </c>
      <c r="M56" s="212">
        <f>M55/H55</f>
        <v>8.7553983067956059E-2</v>
      </c>
      <c r="N56" s="41">
        <f>N55/H55</f>
        <v>9.5746810562116952E-2</v>
      </c>
      <c r="O56" s="213">
        <f>O55/H55</f>
        <v>0.10418542288110265</v>
      </c>
      <c r="P56" s="211">
        <f>P55/H55</f>
        <v>0.1128771935696579</v>
      </c>
      <c r="Q56" s="212">
        <f>Q55/H55</f>
        <v>3.361542658638041</v>
      </c>
      <c r="R56" s="49"/>
      <c r="S56" s="49"/>
      <c r="T56" s="49"/>
      <c r="U56" s="49"/>
      <c r="V56" s="49"/>
      <c r="W56" s="49"/>
    </row>
    <row r="57" spans="1:23" ht="16" customHeight="1" x14ac:dyDescent="0.15">
      <c r="A57" s="24" t="s">
        <v>103</v>
      </c>
      <c r="B57" s="12"/>
      <c r="C57" s="35">
        <v>0.05</v>
      </c>
      <c r="D57" s="35"/>
      <c r="E57" s="131">
        <f>-C57*D56</f>
        <v>-48384</v>
      </c>
      <c r="F57" s="215"/>
      <c r="G57" s="220" t="s">
        <v>104</v>
      </c>
      <c r="H57" s="221">
        <v>0</v>
      </c>
      <c r="I57" s="49">
        <f>I58*H57</f>
        <v>0</v>
      </c>
      <c r="J57" s="222">
        <f>J58*H57</f>
        <v>0</v>
      </c>
      <c r="K57" s="200">
        <f>K58*H57</f>
        <v>0</v>
      </c>
      <c r="L57" s="200">
        <f>L58*H57</f>
        <v>0</v>
      </c>
      <c r="M57" s="200">
        <f>L57</f>
        <v>0</v>
      </c>
      <c r="N57" s="200">
        <f>H58*(N69-N53)</f>
        <v>0</v>
      </c>
      <c r="O57" s="200">
        <f>H58*(O69-O53)</f>
        <v>0</v>
      </c>
      <c r="P57" s="200">
        <f>H58*(P69-P53)</f>
        <v>0</v>
      </c>
      <c r="Q57" s="223">
        <f>H58*(Q76+Q69-Q53)</f>
        <v>0</v>
      </c>
      <c r="R57" s="41"/>
      <c r="S57" s="41"/>
      <c r="T57" s="41"/>
      <c r="U57" s="41"/>
      <c r="V57" s="41"/>
      <c r="W57" s="41"/>
    </row>
    <row r="58" spans="1:23" ht="16" customHeight="1" x14ac:dyDescent="0.15">
      <c r="A58" s="24" t="s">
        <v>105</v>
      </c>
      <c r="B58" s="12"/>
      <c r="C58" s="137" t="s">
        <v>29</v>
      </c>
      <c r="D58" s="218">
        <f>0.3*-E17</f>
        <v>-12906.976744186046</v>
      </c>
      <c r="E58" s="131">
        <v>0</v>
      </c>
      <c r="F58" s="190"/>
      <c r="G58" s="224"/>
      <c r="H58" s="209">
        <f>H57/-G79</f>
        <v>0</v>
      </c>
      <c r="I58" s="210"/>
      <c r="J58" s="210"/>
      <c r="K58" s="210"/>
      <c r="L58" s="210"/>
      <c r="M58" s="210"/>
      <c r="N58" s="210"/>
      <c r="O58" s="210"/>
      <c r="P58" s="210"/>
      <c r="Q58" s="212"/>
      <c r="R58" s="225"/>
      <c r="S58" s="225"/>
      <c r="T58" s="225"/>
      <c r="U58" s="225"/>
      <c r="V58" s="225"/>
      <c r="W58" s="225"/>
    </row>
    <row r="59" spans="1:23" ht="16" customHeight="1" x14ac:dyDescent="0.15">
      <c r="A59" s="33"/>
      <c r="B59" s="12"/>
      <c r="C59" s="206"/>
      <c r="D59" s="226"/>
      <c r="E59" s="131"/>
      <c r="F59" s="61"/>
      <c r="G59" s="227"/>
      <c r="H59" s="228"/>
      <c r="I59" s="49"/>
      <c r="J59" s="222"/>
      <c r="K59" s="223"/>
      <c r="L59" s="229"/>
      <c r="M59" s="222"/>
      <c r="N59" s="200"/>
      <c r="O59" s="200"/>
      <c r="P59" s="200"/>
      <c r="Q59" s="223"/>
      <c r="R59" s="41"/>
      <c r="S59" s="41"/>
      <c r="T59" s="41"/>
      <c r="U59" s="41"/>
      <c r="V59" s="41"/>
      <c r="W59" s="41"/>
    </row>
    <row r="60" spans="1:23" ht="16" customHeight="1" x14ac:dyDescent="0.15">
      <c r="A60" s="24" t="s">
        <v>106</v>
      </c>
      <c r="B60" s="12"/>
      <c r="C60" s="137" t="s">
        <v>29</v>
      </c>
      <c r="D60" s="218">
        <f>-0.55*27000000*22/1000</f>
        <v>-326700.00000000006</v>
      </c>
      <c r="E60" s="131">
        <v>0</v>
      </c>
      <c r="F60" s="10"/>
      <c r="G60" s="3" t="s">
        <v>274</v>
      </c>
      <c r="H60" s="268">
        <f>IRR(G61:Q61)</f>
        <v>0.17139136635146524</v>
      </c>
      <c r="I60" s="213"/>
      <c r="J60" s="210"/>
      <c r="K60" s="212"/>
      <c r="L60" s="180"/>
      <c r="M60" s="213"/>
      <c r="N60" s="210"/>
      <c r="O60" s="210"/>
      <c r="P60" s="210"/>
      <c r="Q60" s="212"/>
      <c r="R60" s="225"/>
      <c r="S60" s="225"/>
      <c r="T60" s="225"/>
      <c r="U60" s="225"/>
      <c r="V60" s="225"/>
      <c r="W60" s="225"/>
    </row>
    <row r="61" spans="1:23" ht="16" customHeight="1" x14ac:dyDescent="0.15">
      <c r="A61" s="33"/>
      <c r="B61" s="12"/>
      <c r="C61" s="230"/>
      <c r="D61" s="35"/>
      <c r="E61" s="131"/>
      <c r="F61" s="10"/>
      <c r="G61" s="297">
        <f>-H51</f>
        <v>-2500000</v>
      </c>
      <c r="H61" s="18">
        <v>0</v>
      </c>
      <c r="I61" s="18">
        <f t="shared" ref="I61:Q61" si="0">I51</f>
        <v>200000</v>
      </c>
      <c r="J61" s="18">
        <f t="shared" si="0"/>
        <v>200000</v>
      </c>
      <c r="K61" s="18">
        <f t="shared" si="0"/>
        <v>200000</v>
      </c>
      <c r="L61" s="18">
        <f t="shared" si="0"/>
        <v>200000</v>
      </c>
      <c r="M61" s="18">
        <f t="shared" si="0"/>
        <v>218884.95766989019</v>
      </c>
      <c r="N61" s="18">
        <f t="shared" si="0"/>
        <v>239367.02640529239</v>
      </c>
      <c r="O61" s="18">
        <f t="shared" si="0"/>
        <v>260463.55720275673</v>
      </c>
      <c r="P61" s="18">
        <f t="shared" si="0"/>
        <v>282192.98392414488</v>
      </c>
      <c r="Q61" s="298">
        <f t="shared" si="0"/>
        <v>8403856.6465951055</v>
      </c>
      <c r="R61" s="41"/>
      <c r="S61" s="41"/>
      <c r="T61" s="41"/>
      <c r="U61" s="41"/>
      <c r="V61" s="41"/>
      <c r="W61" s="41"/>
    </row>
    <row r="62" spans="1:23" ht="16" customHeight="1" x14ac:dyDescent="0.15">
      <c r="A62" s="24" t="s">
        <v>107</v>
      </c>
      <c r="B62" s="12"/>
      <c r="C62" s="137" t="s">
        <v>29</v>
      </c>
      <c r="D62" s="38">
        <v>0</v>
      </c>
      <c r="E62" s="131">
        <v>0</v>
      </c>
      <c r="F62" s="10"/>
      <c r="G62" s="231"/>
      <c r="H62" s="232"/>
      <c r="I62" s="231"/>
      <c r="J62" s="232"/>
      <c r="K62" s="232"/>
      <c r="L62" s="232"/>
      <c r="M62" s="232"/>
      <c r="N62" s="232"/>
      <c r="O62" s="231"/>
      <c r="P62" s="231"/>
      <c r="Q62" s="231"/>
      <c r="R62" s="18"/>
      <c r="S62" s="12"/>
      <c r="T62" s="12"/>
      <c r="U62" s="12"/>
      <c r="V62" s="12"/>
      <c r="W62" s="12"/>
    </row>
    <row r="63" spans="1:23" ht="16" customHeight="1" x14ac:dyDescent="0.15">
      <c r="A63" s="233" t="s">
        <v>273</v>
      </c>
      <c r="B63" s="21"/>
      <c r="C63" s="234">
        <v>400</v>
      </c>
      <c r="D63" s="235" t="s">
        <v>40</v>
      </c>
      <c r="E63" s="236">
        <f>-C63*12</f>
        <v>-4800</v>
      </c>
      <c r="F63" s="9"/>
      <c r="G63" s="237"/>
      <c r="H63" s="238" t="s">
        <v>108</v>
      </c>
      <c r="I63" s="238" t="s">
        <v>89</v>
      </c>
      <c r="J63" s="238" t="s">
        <v>90</v>
      </c>
      <c r="K63" s="238" t="s">
        <v>91</v>
      </c>
      <c r="L63" s="238" t="s">
        <v>92</v>
      </c>
      <c r="M63" s="238" t="s">
        <v>93</v>
      </c>
      <c r="N63" s="238" t="s">
        <v>94</v>
      </c>
      <c r="O63" s="238" t="s">
        <v>95</v>
      </c>
      <c r="P63" s="238" t="s">
        <v>96</v>
      </c>
      <c r="Q63" s="239" t="s">
        <v>97</v>
      </c>
      <c r="R63" s="240"/>
      <c r="S63" s="74"/>
      <c r="T63" s="12"/>
      <c r="U63" s="12"/>
      <c r="V63" s="12"/>
      <c r="W63" s="12"/>
    </row>
    <row r="64" spans="1:23" ht="16" customHeight="1" x14ac:dyDescent="0.15">
      <c r="A64" s="13" t="s">
        <v>109</v>
      </c>
      <c r="B64" s="14"/>
      <c r="C64" s="28">
        <v>0.03</v>
      </c>
      <c r="D64" s="28"/>
      <c r="E64" s="147">
        <f>-C64*D56</f>
        <v>-29030.399999999998</v>
      </c>
      <c r="F64" s="9"/>
      <c r="G64" s="241" t="s">
        <v>110</v>
      </c>
      <c r="H64" s="242"/>
      <c r="I64" s="242">
        <f>SUM(E51:E56)</f>
        <v>967680</v>
      </c>
      <c r="J64" s="242">
        <f t="shared" ref="J64:Q64" si="1">I64*1.03</f>
        <v>996710.40000000002</v>
      </c>
      <c r="K64" s="242">
        <f t="shared" si="1"/>
        <v>1026611.7120000001</v>
      </c>
      <c r="L64" s="242">
        <f t="shared" si="1"/>
        <v>1057410.06336</v>
      </c>
      <c r="M64" s="242">
        <f t="shared" si="1"/>
        <v>1089132.3652608001</v>
      </c>
      <c r="N64" s="242">
        <f t="shared" si="1"/>
        <v>1121806.3362186241</v>
      </c>
      <c r="O64" s="242">
        <f t="shared" si="1"/>
        <v>1155460.5263051828</v>
      </c>
      <c r="P64" s="242">
        <f t="shared" si="1"/>
        <v>1190124.3420943383</v>
      </c>
      <c r="Q64" s="242">
        <f t="shared" si="1"/>
        <v>1225828.0723571684</v>
      </c>
      <c r="R64" s="243"/>
      <c r="S64" s="205"/>
      <c r="T64" s="205"/>
      <c r="U64" s="205"/>
      <c r="V64" s="205"/>
      <c r="W64" s="205"/>
    </row>
    <row r="65" spans="1:23" ht="16" customHeight="1" x14ac:dyDescent="0.15">
      <c r="A65" s="24" t="s">
        <v>111</v>
      </c>
      <c r="B65" s="12"/>
      <c r="C65" s="35">
        <v>0.02</v>
      </c>
      <c r="D65" s="35"/>
      <c r="E65" s="131">
        <f>-C65*D56</f>
        <v>-19353.600000000002</v>
      </c>
      <c r="F65" s="244"/>
      <c r="G65" s="245" t="s">
        <v>112</v>
      </c>
      <c r="H65" s="246"/>
      <c r="I65" s="246">
        <f>E68</f>
        <v>-140275.20000000001</v>
      </c>
      <c r="J65" s="246">
        <f t="shared" ref="J65:Q65" si="2">I65*103%</f>
        <v>-144483.45600000001</v>
      </c>
      <c r="K65" s="246">
        <f t="shared" si="2"/>
        <v>-148817.95968</v>
      </c>
      <c r="L65" s="246">
        <f t="shared" si="2"/>
        <v>-153282.49847039999</v>
      </c>
      <c r="M65" s="246">
        <f t="shared" si="2"/>
        <v>-157880.97342451199</v>
      </c>
      <c r="N65" s="246">
        <f t="shared" si="2"/>
        <v>-162617.40262724736</v>
      </c>
      <c r="O65" s="246">
        <f t="shared" si="2"/>
        <v>-167495.92470606478</v>
      </c>
      <c r="P65" s="246">
        <f t="shared" si="2"/>
        <v>-172520.80244724674</v>
      </c>
      <c r="Q65" s="246">
        <f t="shared" si="2"/>
        <v>-177696.42652066416</v>
      </c>
      <c r="R65" s="240"/>
      <c r="S65" s="18"/>
      <c r="T65" s="18"/>
      <c r="U65" s="18"/>
      <c r="V65" s="18"/>
      <c r="W65" s="18"/>
    </row>
    <row r="66" spans="1:23" ht="16" customHeight="1" x14ac:dyDescent="0.15">
      <c r="A66" s="24" t="s">
        <v>113</v>
      </c>
      <c r="B66" s="12"/>
      <c r="C66" s="39"/>
      <c r="D66" s="35"/>
      <c r="E66" s="131">
        <v>0</v>
      </c>
      <c r="F66" s="9"/>
      <c r="G66" s="247"/>
      <c r="H66" s="248"/>
      <c r="I66" s="248"/>
      <c r="J66" s="248"/>
      <c r="K66" s="248"/>
      <c r="L66" s="248"/>
      <c r="M66" s="248"/>
      <c r="N66" s="248"/>
      <c r="O66" s="248"/>
      <c r="P66" s="248"/>
      <c r="Q66" s="248"/>
      <c r="R66" s="240"/>
      <c r="S66" s="18"/>
      <c r="T66" s="18"/>
      <c r="U66" s="18"/>
      <c r="V66" s="18"/>
      <c r="W66" s="18"/>
    </row>
    <row r="67" spans="1:23" ht="16.5" customHeight="1" x14ac:dyDescent="0.15">
      <c r="A67" s="249" t="s">
        <v>114</v>
      </c>
      <c r="B67" s="250"/>
      <c r="C67" s="251">
        <v>0.04</v>
      </c>
      <c r="D67" s="150"/>
      <c r="E67" s="162">
        <f>-C67*D56</f>
        <v>-38707.200000000004</v>
      </c>
      <c r="F67" s="252"/>
      <c r="G67" s="241" t="s">
        <v>115</v>
      </c>
      <c r="H67" s="242"/>
      <c r="I67" s="242">
        <f>SUM(I64:I66)</f>
        <v>827404.80000000005</v>
      </c>
      <c r="J67" s="242">
        <f>SUM(J64:J66)</f>
        <v>852226.94400000002</v>
      </c>
      <c r="K67" s="242">
        <f>SUM(K64:K66)-E61/2</f>
        <v>877793.75232000009</v>
      </c>
      <c r="L67" s="242">
        <f>SUM(L64:L66)-E61/2</f>
        <v>904127.56488960003</v>
      </c>
      <c r="M67" s="242">
        <f>SUM(M64:M66)-E61/2</f>
        <v>931251.39183628815</v>
      </c>
      <c r="N67" s="242">
        <f>SUM(N64:N66)-E61</f>
        <v>959188.93359137676</v>
      </c>
      <c r="O67" s="242">
        <f>SUM(O64:O66)-E61</f>
        <v>987964.60159911809</v>
      </c>
      <c r="P67" s="242">
        <f>SUM(P64:P66)-E61</f>
        <v>1017603.5396470915</v>
      </c>
      <c r="Q67" s="242">
        <f>SUM(Q64:Q66)-E61</f>
        <v>1048131.6458365043</v>
      </c>
      <c r="R67" s="240"/>
      <c r="S67" s="18"/>
      <c r="T67" s="18"/>
      <c r="U67" s="18"/>
      <c r="V67" s="18"/>
      <c r="W67" s="18"/>
    </row>
    <row r="68" spans="1:23" ht="17" customHeight="1" x14ac:dyDescent="0.15">
      <c r="A68" s="253" t="s">
        <v>116</v>
      </c>
      <c r="B68" s="254"/>
      <c r="C68" s="255">
        <f>-(E68/SUM(E51:E56))</f>
        <v>0.14496031746031748</v>
      </c>
      <c r="D68" s="255"/>
      <c r="E68" s="256">
        <f>SUM(E57:E67)</f>
        <v>-140275.20000000001</v>
      </c>
      <c r="F68" s="9"/>
      <c r="G68" s="257" t="s">
        <v>117</v>
      </c>
      <c r="H68" s="248"/>
      <c r="I68" s="248">
        <f>I45+H46</f>
        <v>-632692.30957455793</v>
      </c>
      <c r="J68" s="248">
        <f t="shared" ref="J68:Q68" si="3">I68</f>
        <v>-632692.30957455793</v>
      </c>
      <c r="K68" s="248">
        <f t="shared" si="3"/>
        <v>-632692.30957455793</v>
      </c>
      <c r="L68" s="248">
        <f t="shared" si="3"/>
        <v>-632692.30957455793</v>
      </c>
      <c r="M68" s="248">
        <f t="shared" si="3"/>
        <v>-632692.30957455793</v>
      </c>
      <c r="N68" s="248">
        <f t="shared" si="3"/>
        <v>-632692.30957455793</v>
      </c>
      <c r="O68" s="248">
        <f t="shared" si="3"/>
        <v>-632692.30957455793</v>
      </c>
      <c r="P68" s="248">
        <f t="shared" si="3"/>
        <v>-632692.30957455793</v>
      </c>
      <c r="Q68" s="248">
        <f t="shared" si="3"/>
        <v>-632692.30957455793</v>
      </c>
      <c r="R68" s="240"/>
      <c r="S68" s="18"/>
      <c r="T68" s="18"/>
      <c r="U68" s="18"/>
      <c r="V68" s="18"/>
      <c r="W68" s="18"/>
    </row>
    <row r="69" spans="1:23" ht="16.5" customHeight="1" x14ac:dyDescent="0.15">
      <c r="A69" s="258" t="s">
        <v>118</v>
      </c>
      <c r="B69" s="259"/>
      <c r="C69" s="8"/>
      <c r="D69" s="8"/>
      <c r="E69" s="260">
        <v>0</v>
      </c>
      <c r="F69" s="9"/>
      <c r="G69" s="241" t="s">
        <v>84</v>
      </c>
      <c r="H69" s="242"/>
      <c r="I69" s="242">
        <f t="shared" ref="I69:Q69" si="4">I67+I68</f>
        <v>194712.49042544211</v>
      </c>
      <c r="J69" s="242">
        <f t="shared" si="4"/>
        <v>219534.63442544208</v>
      </c>
      <c r="K69" s="242">
        <f t="shared" si="4"/>
        <v>245101.44274544215</v>
      </c>
      <c r="L69" s="242">
        <f t="shared" si="4"/>
        <v>271435.2553150421</v>
      </c>
      <c r="M69" s="242">
        <f t="shared" si="4"/>
        <v>298559.08226173022</v>
      </c>
      <c r="N69" s="242">
        <f t="shared" si="4"/>
        <v>326496.62401681882</v>
      </c>
      <c r="O69" s="242">
        <f t="shared" si="4"/>
        <v>355272.29202456016</v>
      </c>
      <c r="P69" s="242">
        <f t="shared" si="4"/>
        <v>384911.2300725336</v>
      </c>
      <c r="Q69" s="242">
        <f t="shared" si="4"/>
        <v>415439.33626194636</v>
      </c>
      <c r="R69" s="240"/>
      <c r="S69" s="18"/>
      <c r="T69" s="18"/>
      <c r="U69" s="18"/>
      <c r="V69" s="18"/>
      <c r="W69" s="18"/>
    </row>
    <row r="70" spans="1:23" ht="16" customHeight="1" x14ac:dyDescent="0.15">
      <c r="A70" s="46" t="s">
        <v>119</v>
      </c>
      <c r="B70" s="39"/>
      <c r="C70" s="3"/>
      <c r="D70" s="3"/>
      <c r="E70" s="261">
        <f>E68/E17</f>
        <v>-3.260450594594595</v>
      </c>
      <c r="F70" s="9"/>
      <c r="G70" s="257" t="s">
        <v>120</v>
      </c>
      <c r="H70" s="262"/>
      <c r="I70" s="262"/>
      <c r="J70" s="262"/>
      <c r="K70" s="262"/>
      <c r="L70" s="262"/>
      <c r="M70" s="262"/>
      <c r="N70" s="262"/>
      <c r="O70" s="262"/>
      <c r="P70" s="262"/>
      <c r="Q70" s="262"/>
      <c r="R70" s="240"/>
      <c r="S70" s="18"/>
      <c r="T70" s="18"/>
      <c r="U70" s="18"/>
      <c r="V70" s="18"/>
      <c r="W70" s="18"/>
    </row>
    <row r="71" spans="1:23" ht="16.5" customHeight="1" x14ac:dyDescent="0.15">
      <c r="A71" s="160"/>
      <c r="B71" s="250"/>
      <c r="C71" s="263"/>
      <c r="D71" s="263"/>
      <c r="E71" s="162"/>
      <c r="F71" s="9"/>
      <c r="G71" s="264" t="s">
        <v>121</v>
      </c>
      <c r="H71" s="265"/>
      <c r="I71" s="265">
        <f t="shared" ref="I71:Q71" si="5">-I67/I68</f>
        <v>1.3077522635866601</v>
      </c>
      <c r="J71" s="266">
        <f t="shared" si="5"/>
        <v>1.3469848314942598</v>
      </c>
      <c r="K71" s="266">
        <f t="shared" si="5"/>
        <v>1.3873943764390877</v>
      </c>
      <c r="L71" s="266">
        <f t="shared" si="5"/>
        <v>1.4290162077322603</v>
      </c>
      <c r="M71" s="266">
        <f t="shared" si="5"/>
        <v>1.4718866939642283</v>
      </c>
      <c r="N71" s="266">
        <f t="shared" si="5"/>
        <v>1.516043294783155</v>
      </c>
      <c r="O71" s="266">
        <f t="shared" si="5"/>
        <v>1.5615245936266497</v>
      </c>
      <c r="P71" s="266">
        <f t="shared" si="5"/>
        <v>1.6083703314354492</v>
      </c>
      <c r="Q71" s="266">
        <f t="shared" si="5"/>
        <v>1.6566214413785125</v>
      </c>
      <c r="R71" s="267"/>
      <c r="S71" s="268"/>
      <c r="T71" s="268"/>
      <c r="U71" s="268"/>
      <c r="V71" s="268"/>
      <c r="W71" s="268"/>
    </row>
    <row r="72" spans="1:23" ht="17" customHeight="1" x14ac:dyDescent="0.15">
      <c r="A72" s="173" t="s">
        <v>79</v>
      </c>
      <c r="B72" s="269"/>
      <c r="C72" s="164"/>
      <c r="D72" s="164"/>
      <c r="E72" s="270">
        <f>SUM(E51:E67)</f>
        <v>827404.80000000005</v>
      </c>
      <c r="F72" s="2"/>
      <c r="G72" s="271" t="s">
        <v>122</v>
      </c>
      <c r="H72" s="272"/>
      <c r="I72" s="272">
        <f>-I68+I45</f>
        <v>0</v>
      </c>
      <c r="J72" s="272">
        <f>I72</f>
        <v>0</v>
      </c>
      <c r="K72" s="272">
        <f>J72</f>
        <v>0</v>
      </c>
      <c r="L72" s="272">
        <f>K72</f>
        <v>0</v>
      </c>
      <c r="M72" s="272">
        <v>0</v>
      </c>
      <c r="N72" s="272">
        <v>0</v>
      </c>
      <c r="O72" s="272">
        <v>0</v>
      </c>
      <c r="P72" s="272">
        <v>0</v>
      </c>
      <c r="Q72" s="273">
        <v>0</v>
      </c>
      <c r="R72" s="274"/>
      <c r="S72" s="275"/>
      <c r="T72" s="275"/>
      <c r="U72" s="275"/>
      <c r="V72" s="275"/>
      <c r="W72" s="275"/>
    </row>
    <row r="73" spans="1:23" ht="16.5" customHeight="1" x14ac:dyDescent="0.15">
      <c r="A73" s="8"/>
      <c r="B73" s="8"/>
      <c r="C73" s="8"/>
      <c r="D73" s="8"/>
      <c r="E73" s="8"/>
      <c r="F73" s="115"/>
      <c r="G73" s="264" t="s">
        <v>123</v>
      </c>
      <c r="H73" s="276"/>
      <c r="I73" s="276">
        <f>I25</f>
        <v>14821338.156521739</v>
      </c>
      <c r="J73" s="276">
        <f t="shared" ref="J73:Q73" si="6">I73*1.03</f>
        <v>15265978.301217392</v>
      </c>
      <c r="K73" s="276">
        <f t="shared" si="6"/>
        <v>15723957.650253914</v>
      </c>
      <c r="L73" s="276">
        <f t="shared" si="6"/>
        <v>16195676.379761532</v>
      </c>
      <c r="M73" s="276">
        <f t="shared" si="6"/>
        <v>16681546.671154378</v>
      </c>
      <c r="N73" s="276">
        <f t="shared" si="6"/>
        <v>17181993.07128901</v>
      </c>
      <c r="O73" s="276">
        <f t="shared" si="6"/>
        <v>17697452.86342768</v>
      </c>
      <c r="P73" s="276">
        <f t="shared" si="6"/>
        <v>18228376.449330512</v>
      </c>
      <c r="Q73" s="276">
        <f t="shared" si="6"/>
        <v>18775227.742810428</v>
      </c>
      <c r="R73" s="240"/>
      <c r="S73" s="18"/>
      <c r="T73" s="18"/>
      <c r="U73" s="18"/>
      <c r="V73" s="18"/>
      <c r="W73" s="18"/>
    </row>
    <row r="74" spans="1:23" ht="16" customHeight="1" x14ac:dyDescent="0.15">
      <c r="A74" s="3"/>
      <c r="B74" s="3"/>
      <c r="C74" s="3"/>
      <c r="D74" s="3"/>
      <c r="E74" s="3"/>
      <c r="F74" s="115"/>
      <c r="G74" s="241" t="s">
        <v>124</v>
      </c>
      <c r="H74" s="277"/>
      <c r="I74" s="278"/>
      <c r="J74" s="279"/>
      <c r="K74" s="279"/>
      <c r="L74" s="279"/>
      <c r="M74" s="279"/>
      <c r="N74" s="279"/>
      <c r="O74" s="279"/>
      <c r="P74" s="280"/>
      <c r="Q74" s="276">
        <f>Q73*0.95</f>
        <v>17836466.355669905</v>
      </c>
      <c r="R74" s="281"/>
      <c r="S74" s="48"/>
      <c r="T74" s="48"/>
      <c r="U74" s="48"/>
      <c r="V74" s="48"/>
      <c r="W74" s="282"/>
    </row>
    <row r="75" spans="1:23" ht="16" customHeight="1" x14ac:dyDescent="0.15">
      <c r="A75" s="3"/>
      <c r="B75" s="3"/>
      <c r="C75" s="3"/>
      <c r="D75" s="3"/>
      <c r="E75" s="3"/>
      <c r="F75" s="115"/>
      <c r="G75" s="257" t="s">
        <v>125</v>
      </c>
      <c r="H75" s="283"/>
      <c r="I75" s="284"/>
      <c r="J75" s="285"/>
      <c r="K75" s="285"/>
      <c r="L75" s="285"/>
      <c r="M75" s="285"/>
      <c r="N75" s="285"/>
      <c r="O75" s="285"/>
      <c r="P75" s="286"/>
      <c r="Q75" s="276">
        <f>'Loan Amortization Schedule _2_'!I125</f>
        <v>6789045.2259761272</v>
      </c>
      <c r="R75" s="33"/>
      <c r="S75" s="12"/>
      <c r="T75" s="12"/>
      <c r="U75" s="12"/>
      <c r="V75" s="12"/>
      <c r="W75" s="282"/>
    </row>
    <row r="76" spans="1:23" ht="16" customHeight="1" x14ac:dyDescent="0.15">
      <c r="A76" s="3"/>
      <c r="B76" s="3"/>
      <c r="C76" s="3"/>
      <c r="D76" s="3"/>
      <c r="E76" s="3"/>
      <c r="F76" s="115"/>
      <c r="G76" s="264" t="s">
        <v>126</v>
      </c>
      <c r="H76" s="287"/>
      <c r="I76" s="288"/>
      <c r="J76" s="289"/>
      <c r="K76" s="289"/>
      <c r="L76" s="289"/>
      <c r="M76" s="289"/>
      <c r="N76" s="289"/>
      <c r="O76" s="289"/>
      <c r="P76" s="290"/>
      <c r="Q76" s="276">
        <f>Q74-Q75</f>
        <v>11047421.129693776</v>
      </c>
      <c r="R76" s="33"/>
      <c r="S76" s="12"/>
      <c r="T76" s="12"/>
      <c r="U76" s="12"/>
      <c r="V76" s="12"/>
      <c r="W76" s="282"/>
    </row>
    <row r="77" spans="1:23" ht="16" customHeight="1" x14ac:dyDescent="0.15">
      <c r="A77" s="3"/>
      <c r="B77" s="3"/>
      <c r="C77" s="3"/>
      <c r="D77" s="3"/>
      <c r="E77" s="3"/>
      <c r="F77" s="3"/>
      <c r="G77" s="291"/>
      <c r="H77" s="292"/>
      <c r="I77" s="292"/>
      <c r="J77" s="292"/>
      <c r="K77" s="293"/>
      <c r="L77" s="21"/>
      <c r="M77" s="21"/>
      <c r="N77" s="21"/>
      <c r="O77" s="21"/>
      <c r="P77" s="21"/>
      <c r="Q77" s="294"/>
      <c r="R77" s="33"/>
      <c r="S77" s="12"/>
      <c r="T77" s="12"/>
      <c r="U77" s="12"/>
      <c r="V77" s="12"/>
      <c r="W77" s="282"/>
    </row>
    <row r="78" spans="1:23" ht="16" customHeight="1" x14ac:dyDescent="0.15">
      <c r="A78" s="3"/>
      <c r="B78" s="3"/>
      <c r="C78" s="3"/>
      <c r="D78" s="3"/>
      <c r="E78" s="3"/>
      <c r="F78" s="115"/>
      <c r="G78" s="295" t="s">
        <v>127</v>
      </c>
      <c r="H78" s="288">
        <f>IRR(G79:W79)</f>
        <v>0.16713804824389444</v>
      </c>
      <c r="I78" s="288"/>
      <c r="J78" s="288"/>
      <c r="K78" s="14"/>
      <c r="L78" s="14"/>
      <c r="M78" s="14"/>
      <c r="N78" s="14"/>
      <c r="O78" s="14"/>
      <c r="P78" s="14"/>
      <c r="Q78" s="296"/>
      <c r="R78" s="33"/>
      <c r="S78" s="12"/>
      <c r="T78" s="12"/>
      <c r="U78" s="12"/>
      <c r="V78" s="12"/>
      <c r="W78" s="12"/>
    </row>
    <row r="79" spans="1:23" ht="16" customHeight="1" x14ac:dyDescent="0.15">
      <c r="A79" s="3"/>
      <c r="B79" s="3"/>
      <c r="C79" s="3"/>
      <c r="D79" s="3"/>
      <c r="E79" s="3"/>
      <c r="F79" s="115"/>
      <c r="G79" s="297">
        <f>-H51-H55-H53</f>
        <v>-3410000</v>
      </c>
      <c r="H79" s="18">
        <v>0</v>
      </c>
      <c r="I79" s="18">
        <f t="shared" ref="I79:P79" si="7">I69</f>
        <v>194712.49042544211</v>
      </c>
      <c r="J79" s="18">
        <f t="shared" si="7"/>
        <v>219534.63442544208</v>
      </c>
      <c r="K79" s="18">
        <f t="shared" si="7"/>
        <v>245101.44274544215</v>
      </c>
      <c r="L79" s="18">
        <f t="shared" si="7"/>
        <v>271435.2553150421</v>
      </c>
      <c r="M79" s="18">
        <f t="shared" si="7"/>
        <v>298559.08226173022</v>
      </c>
      <c r="N79" s="18">
        <f t="shared" si="7"/>
        <v>326496.62401681882</v>
      </c>
      <c r="O79" s="18">
        <f t="shared" si="7"/>
        <v>355272.29202456016</v>
      </c>
      <c r="P79" s="18">
        <f t="shared" si="7"/>
        <v>384911.2300725336</v>
      </c>
      <c r="Q79" s="298">
        <f>Q69+Q76</f>
        <v>11462860.465955723</v>
      </c>
      <c r="R79" s="33"/>
      <c r="S79" s="12"/>
      <c r="T79" s="12"/>
      <c r="U79" s="12"/>
      <c r="V79" s="12"/>
      <c r="W79" s="12"/>
    </row>
    <row r="80" spans="1:23" ht="16" customHeight="1" x14ac:dyDescent="0.15">
      <c r="A80" s="3"/>
      <c r="B80" s="3"/>
      <c r="C80" s="3"/>
      <c r="D80" s="3"/>
      <c r="E80" s="3"/>
      <c r="F80" s="115"/>
      <c r="G80" s="299"/>
      <c r="H80" s="300"/>
      <c r="I80" s="300"/>
      <c r="J80" s="300"/>
      <c r="K80" s="300"/>
      <c r="L80" s="300"/>
      <c r="M80" s="300"/>
      <c r="N80" s="300"/>
      <c r="O80" s="300"/>
      <c r="P80" s="300"/>
      <c r="Q80" s="301"/>
      <c r="R80" s="240"/>
      <c r="S80" s="18"/>
      <c r="T80" s="18"/>
      <c r="U80" s="18"/>
      <c r="V80" s="18"/>
      <c r="W80" s="18"/>
    </row>
    <row r="81" spans="1:23" ht="16" customHeight="1" x14ac:dyDescent="0.15">
      <c r="A81" s="3"/>
      <c r="B81" s="3"/>
      <c r="C81" s="3"/>
      <c r="D81" s="3"/>
      <c r="E81" s="3"/>
      <c r="F81" s="3"/>
      <c r="G81" s="289"/>
      <c r="H81" s="289"/>
      <c r="I81" s="289"/>
      <c r="J81" s="289"/>
      <c r="K81" s="289"/>
      <c r="L81" s="289"/>
      <c r="M81" s="289"/>
      <c r="N81" s="289"/>
      <c r="O81" s="289"/>
      <c r="P81" s="289"/>
      <c r="Q81" s="289"/>
      <c r="R81" s="268"/>
      <c r="S81" s="12"/>
      <c r="T81" s="12"/>
      <c r="U81" s="12"/>
      <c r="V81" s="12"/>
      <c r="W81" s="12"/>
    </row>
    <row r="82" spans="1:23" ht="12.75" customHeight="1" x14ac:dyDescent="0.15">
      <c r="A82" s="54" t="s">
        <v>128</v>
      </c>
      <c r="B82" s="3"/>
      <c r="C82" s="3"/>
      <c r="D82" s="3"/>
      <c r="E82" s="3"/>
      <c r="F82" s="3"/>
      <c r="G82" s="12"/>
      <c r="H82" s="12"/>
      <c r="I82" s="12"/>
      <c r="J82" s="12"/>
      <c r="K82" s="12"/>
      <c r="L82" s="12"/>
      <c r="M82" s="12"/>
      <c r="N82" s="12"/>
      <c r="O82" s="12"/>
      <c r="P82" s="12"/>
      <c r="Q82" s="3"/>
      <c r="R82" s="3"/>
      <c r="S82" s="3"/>
      <c r="T82" s="3"/>
      <c r="U82" s="3"/>
      <c r="V82" s="3"/>
      <c r="W82" s="3"/>
    </row>
    <row r="83" spans="1:23" ht="12" customHeight="1" x14ac:dyDescent="0.15">
      <c r="A83" s="302" t="s">
        <v>129</v>
      </c>
      <c r="B83" s="3"/>
      <c r="C83" s="3"/>
      <c r="D83" s="3"/>
      <c r="E83" s="3"/>
      <c r="F83" s="3"/>
      <c r="G83" s="12"/>
      <c r="H83" s="12"/>
      <c r="I83" s="39"/>
      <c r="J83" s="12"/>
      <c r="K83" s="12"/>
      <c r="L83" s="12"/>
      <c r="M83" s="12"/>
      <c r="N83" s="12"/>
      <c r="O83" s="12"/>
      <c r="P83" s="12"/>
      <c r="Q83" s="3"/>
      <c r="R83" s="3"/>
      <c r="S83" s="3"/>
      <c r="T83" s="3"/>
      <c r="U83" s="3"/>
      <c r="V83" s="3"/>
      <c r="W83" s="3"/>
    </row>
    <row r="84" spans="1:23" ht="12" customHeight="1" x14ac:dyDescent="0.15">
      <c r="A84" s="302" t="s">
        <v>130</v>
      </c>
      <c r="B84" s="3"/>
      <c r="C84" s="3"/>
      <c r="D84" s="3"/>
      <c r="E84" s="3"/>
      <c r="F84" s="3"/>
      <c r="G84" s="3"/>
      <c r="H84" s="3"/>
      <c r="I84" s="3"/>
      <c r="J84" s="3"/>
      <c r="K84" s="3"/>
      <c r="L84" s="3"/>
      <c r="M84" s="3"/>
      <c r="N84" s="3"/>
      <c r="O84" s="3"/>
      <c r="P84" s="3"/>
      <c r="Q84" s="3"/>
      <c r="R84" s="3"/>
      <c r="S84" s="3"/>
      <c r="T84" s="3"/>
      <c r="U84" s="3"/>
      <c r="V84" s="3"/>
      <c r="W84" s="3"/>
    </row>
    <row r="85" spans="1:23" ht="11.25" customHeight="1" x14ac:dyDescent="0.15">
      <c r="A85" s="302" t="s">
        <v>131</v>
      </c>
      <c r="B85" s="3"/>
      <c r="C85" s="3"/>
      <c r="D85" s="3"/>
      <c r="E85" s="3"/>
      <c r="F85" s="3"/>
      <c r="G85" s="3"/>
      <c r="H85" s="3"/>
      <c r="I85" s="3"/>
      <c r="J85" s="3"/>
      <c r="K85" s="3"/>
      <c r="L85" s="214"/>
      <c r="M85" s="3"/>
      <c r="N85" s="3"/>
      <c r="O85" s="3"/>
      <c r="P85" s="3"/>
      <c r="Q85" s="3"/>
      <c r="R85" s="3"/>
      <c r="S85" s="3"/>
      <c r="T85" s="3"/>
      <c r="U85" s="3"/>
      <c r="V85" s="3"/>
      <c r="W85" s="3"/>
    </row>
  </sheetData>
  <mergeCells count="7">
    <mergeCell ref="A1:I1"/>
    <mergeCell ref="A50:E50"/>
    <mergeCell ref="G19:I19"/>
    <mergeCell ref="A31:E31"/>
    <mergeCell ref="G5:I5"/>
    <mergeCell ref="A5:E5"/>
    <mergeCell ref="A3:I3"/>
  </mergeCells>
  <pageMargins left="0.75" right="0.75" top="1" bottom="1" header="0.5" footer="0.5"/>
  <pageSetup paperSize="17" scale="46" orientation="landscape" r:id="rId1"/>
  <headerFooter>
    <oddFooter>&amp;L&amp;"Helvetica,Regular"&amp;12&amp;K000000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7"/>
  <sheetViews>
    <sheetView showGridLines="0" topLeftCell="A28" workbookViewId="0">
      <selection activeCell="F45" sqref="F45"/>
    </sheetView>
  </sheetViews>
  <sheetFormatPr baseColWidth="10" defaultColWidth="6.625" defaultRowHeight="12.75" customHeight="1" x14ac:dyDescent="0.15"/>
  <cols>
    <col min="1" max="1" width="6.625" style="303" customWidth="1"/>
    <col min="2" max="2" width="22.875" style="303" customWidth="1"/>
    <col min="3" max="3" width="8" style="303" customWidth="1"/>
    <col min="4" max="4" width="7.625" style="303" customWidth="1"/>
    <col min="5" max="6" width="6.625" style="303" customWidth="1"/>
    <col min="7" max="7" width="7.25" style="303" customWidth="1"/>
    <col min="8" max="8" width="9.125" style="303" customWidth="1"/>
    <col min="9" max="9" width="9.75" style="303" customWidth="1"/>
    <col min="10" max="10" width="9" style="303" customWidth="1"/>
    <col min="11" max="11" width="11.5" style="303" customWidth="1"/>
    <col min="12" max="12" width="4.625" style="303" customWidth="1"/>
    <col min="13" max="13" width="4.375" style="303" customWidth="1"/>
    <col min="14" max="14" width="2.625" style="303" customWidth="1"/>
    <col min="15" max="15" width="9.625" style="303" customWidth="1"/>
    <col min="16" max="256" width="6.625" customWidth="1"/>
  </cols>
  <sheetData>
    <row r="1" spans="1:15" ht="24" customHeight="1" x14ac:dyDescent="0.2">
      <c r="A1" s="456" t="str">
        <f>'Proforma 2'!A1</f>
        <v>Tree Farm</v>
      </c>
      <c r="B1" s="457"/>
      <c r="C1" s="457"/>
      <c r="D1" s="457"/>
      <c r="E1" s="457"/>
      <c r="F1" s="457"/>
      <c r="G1" s="457"/>
      <c r="H1" s="457"/>
      <c r="I1" s="457"/>
      <c r="J1" s="457"/>
      <c r="K1" s="458"/>
      <c r="L1" s="2"/>
      <c r="M1" s="3"/>
      <c r="N1" s="3"/>
      <c r="O1" s="3"/>
    </row>
    <row r="2" spans="1:15" ht="12" customHeight="1" x14ac:dyDescent="0.15">
      <c r="A2" s="304"/>
      <c r="B2" s="12"/>
      <c r="C2" s="12"/>
      <c r="D2" s="12"/>
      <c r="E2" s="12"/>
      <c r="F2" s="12"/>
      <c r="G2" s="12"/>
      <c r="H2" s="12"/>
      <c r="I2" s="3"/>
      <c r="J2" s="3"/>
      <c r="K2" s="305"/>
      <c r="L2" s="2"/>
      <c r="M2" s="3"/>
      <c r="N2" s="3"/>
      <c r="O2" s="3"/>
    </row>
    <row r="3" spans="1:15" ht="12" customHeight="1" x14ac:dyDescent="0.15">
      <c r="A3" s="462"/>
      <c r="B3" s="463"/>
      <c r="C3" s="463"/>
      <c r="D3" s="463"/>
      <c r="E3" s="463"/>
      <c r="F3" s="463"/>
      <c r="G3" s="463"/>
      <c r="H3" s="463"/>
      <c r="I3" s="463"/>
      <c r="J3" s="463"/>
      <c r="K3" s="464"/>
      <c r="L3" s="2"/>
      <c r="M3" s="3"/>
      <c r="N3" s="3"/>
      <c r="O3" s="3"/>
    </row>
    <row r="4" spans="1:15" ht="18.75" customHeight="1" x14ac:dyDescent="0.15">
      <c r="A4" s="306" t="s">
        <v>132</v>
      </c>
      <c r="B4" s="307"/>
      <c r="C4" s="184"/>
      <c r="D4" s="184"/>
      <c r="E4" s="184"/>
      <c r="F4" s="184"/>
      <c r="G4" s="184"/>
      <c r="H4" s="184"/>
      <c r="I4" s="308">
        <f>'Proforma 2'!C32</f>
        <v>200</v>
      </c>
      <c r="J4" s="309" t="s">
        <v>133</v>
      </c>
      <c r="K4" s="310">
        <f>'Proforma 2'!E32</f>
        <v>2000000</v>
      </c>
      <c r="L4" s="2"/>
      <c r="M4" s="3"/>
      <c r="N4" s="3"/>
      <c r="O4" s="214"/>
    </row>
    <row r="5" spans="1:15" ht="16.5" customHeight="1" x14ac:dyDescent="0.15">
      <c r="A5" s="311" t="s">
        <v>134</v>
      </c>
      <c r="B5" s="312"/>
      <c r="C5" s="313"/>
      <c r="D5" s="314"/>
      <c r="E5" s="314"/>
      <c r="F5" s="314"/>
      <c r="G5" s="314"/>
      <c r="H5" s="314"/>
      <c r="I5" s="315"/>
      <c r="J5" s="315"/>
      <c r="K5" s="316"/>
      <c r="L5" s="2"/>
      <c r="M5" s="3"/>
      <c r="N5" s="3"/>
      <c r="O5" s="214"/>
    </row>
    <row r="6" spans="1:15" ht="16" customHeight="1" x14ac:dyDescent="0.15">
      <c r="A6" s="317"/>
      <c r="B6" s="27" t="s">
        <v>135</v>
      </c>
      <c r="C6" s="14"/>
      <c r="D6" s="14"/>
      <c r="E6" s="14"/>
      <c r="F6" s="14"/>
      <c r="G6" s="318">
        <f>'Proforma 2'!C33</f>
        <v>149</v>
      </c>
      <c r="H6" s="27" t="s">
        <v>136</v>
      </c>
      <c r="I6" s="319">
        <f>'Proforma 2'!E33</f>
        <v>6410465.1162790693</v>
      </c>
      <c r="J6" s="289"/>
      <c r="K6" s="320"/>
      <c r="L6" s="2"/>
      <c r="M6" s="3"/>
      <c r="N6" s="3"/>
      <c r="O6" s="214"/>
    </row>
    <row r="7" spans="1:15" ht="16" customHeight="1" x14ac:dyDescent="0.15">
      <c r="A7" s="321"/>
      <c r="B7" s="44" t="s">
        <v>137</v>
      </c>
      <c r="C7" s="12"/>
      <c r="D7" s="12"/>
      <c r="E7" s="12"/>
      <c r="F7" s="44" t="s">
        <v>138</v>
      </c>
      <c r="G7" s="230">
        <f>'Proforma 2'!C34</f>
        <v>80</v>
      </c>
      <c r="H7" s="44" t="s">
        <v>136</v>
      </c>
      <c r="I7" s="214">
        <f>'Proforma 2'!E34</f>
        <v>0</v>
      </c>
      <c r="J7" s="3"/>
      <c r="K7" s="305"/>
      <c r="L7" s="2"/>
      <c r="M7" s="3"/>
      <c r="N7" s="3"/>
      <c r="O7" s="214"/>
    </row>
    <row r="8" spans="1:15" ht="16" customHeight="1" x14ac:dyDescent="0.15">
      <c r="A8" s="321"/>
      <c r="B8" s="44" t="s">
        <v>139</v>
      </c>
      <c r="C8" s="12"/>
      <c r="D8" s="12"/>
      <c r="E8" s="12"/>
      <c r="F8" s="44" t="s">
        <v>138</v>
      </c>
      <c r="G8" s="230">
        <v>0</v>
      </c>
      <c r="H8" s="44" t="s">
        <v>136</v>
      </c>
      <c r="I8" s="322">
        <v>0</v>
      </c>
      <c r="J8" s="3"/>
      <c r="K8" s="305"/>
      <c r="L8" s="2"/>
      <c r="M8" s="3"/>
      <c r="N8" s="3"/>
      <c r="O8" s="214"/>
    </row>
    <row r="9" spans="1:15" ht="16" customHeight="1" x14ac:dyDescent="0.15">
      <c r="A9" s="321"/>
      <c r="B9" s="12"/>
      <c r="C9" s="12"/>
      <c r="D9" s="12"/>
      <c r="E9" s="12"/>
      <c r="F9" s="44" t="s">
        <v>138</v>
      </c>
      <c r="G9" s="230">
        <v>0</v>
      </c>
      <c r="H9" s="44" t="s">
        <v>136</v>
      </c>
      <c r="I9" s="214">
        <f>G9*'Proforma 2'!E20</f>
        <v>0</v>
      </c>
      <c r="J9" s="3"/>
      <c r="K9" s="305"/>
      <c r="L9" s="2"/>
      <c r="M9" s="3"/>
      <c r="N9" s="3"/>
      <c r="O9" s="214"/>
    </row>
    <row r="10" spans="1:15" ht="16" customHeight="1" x14ac:dyDescent="0.15">
      <c r="A10" s="321"/>
      <c r="B10" s="44" t="s">
        <v>140</v>
      </c>
      <c r="C10" s="12"/>
      <c r="D10" s="12"/>
      <c r="E10" s="12"/>
      <c r="F10" s="44" t="s">
        <v>138</v>
      </c>
      <c r="G10" s="230">
        <v>0</v>
      </c>
      <c r="H10" s="44" t="s">
        <v>136</v>
      </c>
      <c r="I10" s="3"/>
      <c r="J10" s="3"/>
      <c r="K10" s="305"/>
      <c r="L10" s="2"/>
      <c r="M10" s="3"/>
      <c r="N10" s="3"/>
      <c r="O10" s="214"/>
    </row>
    <row r="11" spans="1:15" ht="16" customHeight="1" x14ac:dyDescent="0.15">
      <c r="A11" s="321"/>
      <c r="B11" s="44" t="s">
        <v>141</v>
      </c>
      <c r="C11" s="12"/>
      <c r="D11" s="12"/>
      <c r="E11" s="12"/>
      <c r="F11" s="44" t="s">
        <v>138</v>
      </c>
      <c r="G11" s="230">
        <v>0</v>
      </c>
      <c r="H11" s="44" t="s">
        <v>136</v>
      </c>
      <c r="I11" s="214">
        <v>0</v>
      </c>
      <c r="J11" s="3"/>
      <c r="K11" s="305"/>
      <c r="L11" s="2"/>
      <c r="M11" s="3"/>
      <c r="N11" s="3"/>
      <c r="O11" s="214"/>
    </row>
    <row r="12" spans="1:15" ht="16" customHeight="1" x14ac:dyDescent="0.15">
      <c r="A12" s="321"/>
      <c r="B12" s="44" t="s">
        <v>142</v>
      </c>
      <c r="C12" s="12"/>
      <c r="D12" s="12"/>
      <c r="E12" s="12"/>
      <c r="F12" s="44" t="s">
        <v>143</v>
      </c>
      <c r="G12" s="230">
        <v>0</v>
      </c>
      <c r="H12" s="44" t="s">
        <v>136</v>
      </c>
      <c r="I12" s="214">
        <f>G12*'Proforma 2'!E23</f>
        <v>0</v>
      </c>
      <c r="J12" s="3"/>
      <c r="K12" s="305"/>
      <c r="L12" s="2"/>
      <c r="M12" s="3"/>
      <c r="N12" s="3"/>
      <c r="O12" s="214"/>
    </row>
    <row r="13" spans="1:15" ht="16" customHeight="1" x14ac:dyDescent="0.15">
      <c r="A13" s="321"/>
      <c r="B13" s="44" t="s">
        <v>271</v>
      </c>
      <c r="C13" s="12"/>
      <c r="D13" s="12"/>
      <c r="E13" s="12"/>
      <c r="F13" s="44" t="s">
        <v>138</v>
      </c>
      <c r="G13" s="323"/>
      <c r="H13" s="44" t="s">
        <v>136</v>
      </c>
      <c r="I13" s="322">
        <f>66*7000</f>
        <v>462000</v>
      </c>
      <c r="J13" s="3"/>
      <c r="K13" s="305"/>
      <c r="L13" s="2"/>
      <c r="M13" s="3"/>
      <c r="N13" s="3"/>
      <c r="O13" s="214"/>
    </row>
    <row r="14" spans="1:15" ht="16" customHeight="1" x14ac:dyDescent="0.15">
      <c r="A14" s="321"/>
      <c r="B14" s="44" t="s">
        <v>144</v>
      </c>
      <c r="C14" s="12"/>
      <c r="D14" s="12"/>
      <c r="E14" s="12"/>
      <c r="F14" s="44" t="s">
        <v>138</v>
      </c>
      <c r="G14" s="230">
        <f>'Proforma 2'!C35</f>
        <v>15</v>
      </c>
      <c r="H14" s="44" t="s">
        <v>136</v>
      </c>
      <c r="I14" s="214">
        <f>G14*'Proforma 2'!E8</f>
        <v>487500</v>
      </c>
      <c r="J14" s="3"/>
      <c r="K14" s="305"/>
      <c r="L14" s="2"/>
      <c r="M14" s="3"/>
      <c r="N14" s="3"/>
      <c r="O14" s="214"/>
    </row>
    <row r="15" spans="1:15" ht="16" customHeight="1" x14ac:dyDescent="0.15">
      <c r="A15" s="321"/>
      <c r="B15" s="324" t="s">
        <v>145</v>
      </c>
      <c r="C15" s="325"/>
      <c r="D15" s="326"/>
      <c r="E15" s="326"/>
      <c r="F15" s="324" t="s">
        <v>143</v>
      </c>
      <c r="G15" s="327">
        <v>0</v>
      </c>
      <c r="H15" s="324" t="s">
        <v>136</v>
      </c>
      <c r="I15" s="328"/>
      <c r="J15" s="3"/>
      <c r="K15" s="305"/>
      <c r="L15" s="2"/>
      <c r="M15" s="3"/>
      <c r="N15" s="3"/>
      <c r="O15" s="214"/>
    </row>
    <row r="16" spans="1:15" ht="16" customHeight="1" x14ac:dyDescent="0.15">
      <c r="A16" s="329"/>
      <c r="B16" s="330" t="s">
        <v>146</v>
      </c>
      <c r="C16" s="331"/>
      <c r="D16" s="332"/>
      <c r="E16" s="332"/>
      <c r="F16" s="332"/>
      <c r="G16" s="332"/>
      <c r="H16" s="332"/>
      <c r="I16" s="97">
        <f>SUM(I6:I15)</f>
        <v>7359965.1162790693</v>
      </c>
      <c r="J16" s="333"/>
      <c r="K16" s="305"/>
      <c r="L16" s="2"/>
      <c r="M16" s="3"/>
      <c r="N16" s="3"/>
      <c r="O16" s="214"/>
    </row>
    <row r="17" spans="1:15" ht="16" customHeight="1" x14ac:dyDescent="0.15">
      <c r="A17" s="329"/>
      <c r="B17" s="334" t="s">
        <v>147</v>
      </c>
      <c r="C17" s="335">
        <v>7.0000000000000007E-2</v>
      </c>
      <c r="D17" s="336"/>
      <c r="E17" s="336"/>
      <c r="F17" s="336"/>
      <c r="G17" s="336"/>
      <c r="H17" s="336"/>
      <c r="I17" s="337">
        <f>C17*'Proforma 2'!E33</f>
        <v>448732.5581395349</v>
      </c>
      <c r="J17" s="333"/>
      <c r="K17" s="305"/>
      <c r="L17" s="2"/>
      <c r="M17" s="3"/>
      <c r="N17" s="3"/>
      <c r="O17" s="214"/>
    </row>
    <row r="18" spans="1:15" ht="16.5" customHeight="1" x14ac:dyDescent="0.15">
      <c r="A18" s="321"/>
      <c r="B18" s="338"/>
      <c r="C18" s="338"/>
      <c r="D18" s="338"/>
      <c r="E18" s="338"/>
      <c r="F18" s="338"/>
      <c r="G18" s="338"/>
      <c r="H18" s="338"/>
      <c r="I18" s="339"/>
      <c r="J18" s="3"/>
      <c r="K18" s="340"/>
      <c r="L18" s="2"/>
      <c r="M18" s="3"/>
      <c r="N18" s="3"/>
      <c r="O18" s="214"/>
    </row>
    <row r="19" spans="1:15" ht="17" customHeight="1" x14ac:dyDescent="0.15">
      <c r="A19" s="341"/>
      <c r="B19" s="342" t="s">
        <v>148</v>
      </c>
      <c r="C19" s="21"/>
      <c r="D19" s="21"/>
      <c r="E19" s="21"/>
      <c r="F19" s="21"/>
      <c r="G19" s="21"/>
      <c r="H19" s="21"/>
      <c r="I19" s="231"/>
      <c r="J19" s="343"/>
      <c r="K19" s="310">
        <f>SUM(I16:I17)</f>
        <v>7808697.674418604</v>
      </c>
      <c r="L19" s="2"/>
      <c r="M19" s="3"/>
      <c r="N19" s="3"/>
      <c r="O19" s="214"/>
    </row>
    <row r="20" spans="1:15" ht="16.5" customHeight="1" x14ac:dyDescent="0.15">
      <c r="A20" s="311" t="s">
        <v>149</v>
      </c>
      <c r="B20" s="312"/>
      <c r="C20" s="313"/>
      <c r="D20" s="314"/>
      <c r="E20" s="314"/>
      <c r="F20" s="314"/>
      <c r="G20" s="314"/>
      <c r="H20" s="314"/>
      <c r="I20" s="315"/>
      <c r="J20" s="315"/>
      <c r="K20" s="316"/>
      <c r="L20" s="2"/>
      <c r="M20" s="3"/>
      <c r="N20" s="3"/>
      <c r="O20" s="214"/>
    </row>
    <row r="21" spans="1:15" ht="16" customHeight="1" x14ac:dyDescent="0.15">
      <c r="A21" s="344"/>
      <c r="B21" s="27" t="s">
        <v>150</v>
      </c>
      <c r="C21" s="14"/>
      <c r="D21" s="14"/>
      <c r="E21" s="14"/>
      <c r="F21" s="14"/>
      <c r="G21" s="345">
        <f>I21/I16</f>
        <v>0</v>
      </c>
      <c r="H21" s="27" t="s">
        <v>151</v>
      </c>
      <c r="I21" s="319">
        <v>0</v>
      </c>
      <c r="J21" s="289"/>
      <c r="K21" s="320"/>
      <c r="L21" s="2"/>
      <c r="M21" s="3"/>
      <c r="N21" s="3"/>
      <c r="O21" s="214"/>
    </row>
    <row r="22" spans="1:15" ht="16" customHeight="1" x14ac:dyDescent="0.15">
      <c r="A22" s="346"/>
      <c r="B22" s="44" t="s">
        <v>152</v>
      </c>
      <c r="C22" s="12"/>
      <c r="D22" s="12"/>
      <c r="E22" s="12"/>
      <c r="F22" s="12"/>
      <c r="G22" s="41">
        <f>I22/I16</f>
        <v>0</v>
      </c>
      <c r="H22" s="44" t="s">
        <v>151</v>
      </c>
      <c r="I22" s="214">
        <v>0</v>
      </c>
      <c r="J22" s="3"/>
      <c r="K22" s="305"/>
      <c r="L22" s="2"/>
      <c r="M22" s="3"/>
      <c r="N22" s="3"/>
      <c r="O22" s="214"/>
    </row>
    <row r="23" spans="1:15" ht="16" customHeight="1" x14ac:dyDescent="0.15">
      <c r="A23" s="346"/>
      <c r="B23" s="44" t="s">
        <v>153</v>
      </c>
      <c r="C23" s="12"/>
      <c r="D23" s="12"/>
      <c r="E23" s="12"/>
      <c r="F23" s="12"/>
      <c r="G23" s="41">
        <f>I23/I16</f>
        <v>2.7174041838545115E-4</v>
      </c>
      <c r="H23" s="44" t="s">
        <v>151</v>
      </c>
      <c r="I23" s="214">
        <v>2000</v>
      </c>
      <c r="J23" s="3"/>
      <c r="K23" s="305"/>
      <c r="L23" s="2"/>
      <c r="M23" s="3"/>
      <c r="N23" s="3"/>
      <c r="O23" s="214"/>
    </row>
    <row r="24" spans="1:15" ht="16" customHeight="1" x14ac:dyDescent="0.15">
      <c r="A24" s="346"/>
      <c r="B24" s="44" t="s">
        <v>154</v>
      </c>
      <c r="C24" s="12"/>
      <c r="D24" s="12"/>
      <c r="E24" s="12"/>
      <c r="F24" s="12"/>
      <c r="G24" s="41">
        <f>I24/I16</f>
        <v>7.4728615055999069E-4</v>
      </c>
      <c r="H24" s="44" t="s">
        <v>151</v>
      </c>
      <c r="I24" s="214">
        <v>5500</v>
      </c>
      <c r="J24" s="3"/>
      <c r="K24" s="305"/>
      <c r="L24" s="2"/>
      <c r="M24" s="3"/>
      <c r="N24" s="3"/>
      <c r="O24" s="214"/>
    </row>
    <row r="25" spans="1:15" ht="16" customHeight="1" x14ac:dyDescent="0.15">
      <c r="A25" s="346"/>
      <c r="B25" s="44" t="s">
        <v>155</v>
      </c>
      <c r="C25" s="12"/>
      <c r="D25" s="12"/>
      <c r="E25" s="12"/>
      <c r="F25" s="12"/>
      <c r="G25" s="41">
        <f>I25/I16</f>
        <v>1.0149504626696601E-3</v>
      </c>
      <c r="H25" s="44" t="s">
        <v>151</v>
      </c>
      <c r="I25" s="214">
        <v>7470</v>
      </c>
      <c r="J25" s="3"/>
      <c r="K25" s="305"/>
      <c r="L25" s="2"/>
      <c r="M25" s="3"/>
      <c r="N25" s="3"/>
      <c r="O25" s="214"/>
    </row>
    <row r="26" spans="1:15" ht="16" customHeight="1" x14ac:dyDescent="0.15">
      <c r="A26" s="346"/>
      <c r="B26" s="44" t="s">
        <v>156</v>
      </c>
      <c r="C26" s="12"/>
      <c r="D26" s="12"/>
      <c r="E26" s="12"/>
      <c r="F26" s="12"/>
      <c r="G26" s="41">
        <f>I26/I16</f>
        <v>1.4945723011199814E-3</v>
      </c>
      <c r="H26" s="44" t="s">
        <v>151</v>
      </c>
      <c r="I26" s="214">
        <v>11000</v>
      </c>
      <c r="J26" s="3"/>
      <c r="K26" s="305"/>
      <c r="L26" s="2"/>
      <c r="M26" s="3"/>
      <c r="N26" s="3"/>
      <c r="O26" s="214"/>
    </row>
    <row r="27" spans="1:15" ht="16" customHeight="1" x14ac:dyDescent="0.15">
      <c r="A27" s="346"/>
      <c r="B27" s="44" t="s">
        <v>157</v>
      </c>
      <c r="C27" s="12"/>
      <c r="D27" s="12"/>
      <c r="E27" s="12"/>
      <c r="F27" s="12"/>
      <c r="G27" s="41">
        <f>I27/I16</f>
        <v>0</v>
      </c>
      <c r="H27" s="44" t="s">
        <v>151</v>
      </c>
      <c r="I27" s="214">
        <v>0</v>
      </c>
      <c r="J27" s="3"/>
      <c r="K27" s="305"/>
      <c r="L27" s="2"/>
      <c r="M27" s="3"/>
      <c r="N27" s="3"/>
      <c r="O27" s="214"/>
    </row>
    <row r="28" spans="1:15" ht="16" customHeight="1" x14ac:dyDescent="0.15">
      <c r="A28" s="346"/>
      <c r="B28" s="44" t="s">
        <v>158</v>
      </c>
      <c r="C28" s="12"/>
      <c r="D28" s="12"/>
      <c r="E28" s="12"/>
      <c r="F28" s="12"/>
      <c r="G28" s="41">
        <f>I28/I16</f>
        <v>0</v>
      </c>
      <c r="H28" s="44" t="s">
        <v>151</v>
      </c>
      <c r="I28" s="214">
        <v>0</v>
      </c>
      <c r="J28" s="3"/>
      <c r="K28" s="305"/>
      <c r="L28" s="2"/>
      <c r="M28" s="3"/>
      <c r="N28" s="3"/>
      <c r="O28" s="214"/>
    </row>
    <row r="29" spans="1:15" ht="16" customHeight="1" x14ac:dyDescent="0.15">
      <c r="A29" s="346"/>
      <c r="B29" s="44" t="s">
        <v>104</v>
      </c>
      <c r="C29" s="12"/>
      <c r="D29" s="12"/>
      <c r="E29" s="12"/>
      <c r="F29" s="12"/>
      <c r="G29" s="41">
        <f>I29/I16</f>
        <v>0</v>
      </c>
      <c r="H29" s="44" t="s">
        <v>151</v>
      </c>
      <c r="I29" s="214">
        <v>0</v>
      </c>
      <c r="J29" s="3"/>
      <c r="K29" s="305"/>
      <c r="L29" s="2"/>
      <c r="M29" s="3"/>
      <c r="N29" s="3"/>
      <c r="O29" s="214"/>
    </row>
    <row r="30" spans="1:15" ht="16.5" customHeight="1" x14ac:dyDescent="0.15">
      <c r="A30" s="346"/>
      <c r="B30" s="12"/>
      <c r="C30" s="12"/>
      <c r="D30" s="12"/>
      <c r="E30" s="12"/>
      <c r="F30" s="44" t="s">
        <v>159</v>
      </c>
      <c r="G30" s="41">
        <f>SUM(G21:G29)</f>
        <v>3.5285493327350836E-3</v>
      </c>
      <c r="H30" s="12"/>
      <c r="I30" s="3"/>
      <c r="J30" s="3"/>
      <c r="K30" s="340"/>
      <c r="L30" s="2"/>
      <c r="M30" s="3"/>
      <c r="N30" s="3"/>
      <c r="O30" s="214"/>
    </row>
    <row r="31" spans="1:15" ht="17" customHeight="1" x14ac:dyDescent="0.15">
      <c r="A31" s="341"/>
      <c r="B31" s="342" t="s">
        <v>148</v>
      </c>
      <c r="C31" s="21"/>
      <c r="D31" s="21"/>
      <c r="E31" s="21"/>
      <c r="F31" s="21"/>
      <c r="G31" s="21"/>
      <c r="H31" s="21"/>
      <c r="I31" s="231"/>
      <c r="J31" s="343"/>
      <c r="K31" s="310">
        <f>SUM(I21:I29)</f>
        <v>25970</v>
      </c>
      <c r="L31" s="2"/>
      <c r="M31" s="3"/>
      <c r="N31" s="3"/>
      <c r="O31" s="214"/>
    </row>
    <row r="32" spans="1:15" ht="16.5" customHeight="1" x14ac:dyDescent="0.15">
      <c r="A32" s="311" t="s">
        <v>160</v>
      </c>
      <c r="B32" s="312"/>
      <c r="C32" s="237"/>
      <c r="D32" s="347"/>
      <c r="E32" s="314"/>
      <c r="F32" s="314"/>
      <c r="G32" s="314"/>
      <c r="H32" s="314"/>
      <c r="I32" s="315"/>
      <c r="J32" s="315"/>
      <c r="K32" s="316"/>
      <c r="L32" s="2"/>
      <c r="M32" s="3"/>
      <c r="N32" s="3"/>
      <c r="O32" s="214"/>
    </row>
    <row r="33" spans="1:15" ht="16" customHeight="1" x14ac:dyDescent="0.15">
      <c r="A33" s="344"/>
      <c r="B33" s="348" t="s">
        <v>161</v>
      </c>
      <c r="C33" s="349">
        <v>4.4999999999999998E-2</v>
      </c>
      <c r="D33" s="279"/>
      <c r="E33" s="279"/>
      <c r="F33" s="279"/>
      <c r="G33" s="279"/>
      <c r="H33" s="279"/>
      <c r="I33" s="350">
        <f>C33*I6</f>
        <v>288470.93023255811</v>
      </c>
      <c r="J33" s="351"/>
      <c r="K33" s="320"/>
      <c r="L33" s="2"/>
      <c r="M33" s="3"/>
      <c r="N33" s="3"/>
      <c r="O33" s="214"/>
    </row>
    <row r="34" spans="1:15" ht="16" customHeight="1" x14ac:dyDescent="0.15">
      <c r="A34" s="346"/>
      <c r="B34" s="44" t="s">
        <v>162</v>
      </c>
      <c r="C34" s="338"/>
      <c r="D34" s="338"/>
      <c r="E34" s="338"/>
      <c r="F34" s="338"/>
      <c r="G34" s="352" t="s">
        <v>163</v>
      </c>
      <c r="H34" s="338"/>
      <c r="I34" s="339"/>
      <c r="J34" s="3"/>
      <c r="K34" s="305"/>
      <c r="L34" s="2"/>
      <c r="M34" s="3"/>
      <c r="N34" s="3"/>
      <c r="O34" s="214"/>
    </row>
    <row r="35" spans="1:15" ht="16" customHeight="1" x14ac:dyDescent="0.15">
      <c r="A35" s="346"/>
      <c r="B35" s="44" t="s">
        <v>164</v>
      </c>
      <c r="C35" s="12"/>
      <c r="D35" s="12"/>
      <c r="E35" s="12"/>
      <c r="F35" s="12"/>
      <c r="G35" s="12"/>
      <c r="H35" s="12"/>
      <c r="I35" s="214">
        <v>0</v>
      </c>
      <c r="J35" s="3"/>
      <c r="K35" s="305"/>
      <c r="L35" s="2"/>
      <c r="M35" s="3"/>
      <c r="N35" s="3"/>
      <c r="O35" s="214"/>
    </row>
    <row r="36" spans="1:15" ht="16" customHeight="1" x14ac:dyDescent="0.15">
      <c r="A36" s="346"/>
      <c r="B36" s="44" t="s">
        <v>165</v>
      </c>
      <c r="C36" s="12"/>
      <c r="D36" s="12"/>
      <c r="E36" s="12"/>
      <c r="F36" s="12"/>
      <c r="G36" s="12"/>
      <c r="H36" s="12"/>
      <c r="I36" s="214">
        <v>0</v>
      </c>
      <c r="J36" s="3"/>
      <c r="K36" s="305"/>
      <c r="L36" s="2"/>
      <c r="M36" s="3"/>
      <c r="N36" s="3"/>
      <c r="O36" s="214"/>
    </row>
    <row r="37" spans="1:15" ht="16" customHeight="1" x14ac:dyDescent="0.15">
      <c r="A37" s="346"/>
      <c r="B37" s="44" t="s">
        <v>166</v>
      </c>
      <c r="C37" s="12"/>
      <c r="D37" s="12"/>
      <c r="E37" s="12"/>
      <c r="F37" s="12"/>
      <c r="G37" s="44" t="s">
        <v>163</v>
      </c>
      <c r="H37" s="12"/>
      <c r="I37" s="214">
        <v>0</v>
      </c>
      <c r="J37" s="3"/>
      <c r="K37" s="305"/>
      <c r="L37" s="2"/>
      <c r="M37" s="3"/>
      <c r="N37" s="3"/>
      <c r="O37" s="214"/>
    </row>
    <row r="38" spans="1:15" ht="16" customHeight="1" x14ac:dyDescent="0.15">
      <c r="A38" s="346"/>
      <c r="B38" s="44" t="s">
        <v>167</v>
      </c>
      <c r="C38" s="12"/>
      <c r="D38" s="12"/>
      <c r="E38" s="12"/>
      <c r="F38" s="12"/>
      <c r="G38" s="44" t="s">
        <v>163</v>
      </c>
      <c r="H38" s="12"/>
      <c r="I38" s="3"/>
      <c r="J38" s="3"/>
      <c r="K38" s="305"/>
      <c r="L38" s="2"/>
      <c r="M38" s="3"/>
      <c r="N38" s="3"/>
      <c r="O38" s="214"/>
    </row>
    <row r="39" spans="1:15" ht="16.5" customHeight="1" x14ac:dyDescent="0.15">
      <c r="A39" s="353" t="s">
        <v>168</v>
      </c>
      <c r="B39" s="12"/>
      <c r="C39" s="12"/>
      <c r="D39" s="12"/>
      <c r="E39" s="12"/>
      <c r="F39" s="12"/>
      <c r="G39" s="12"/>
      <c r="H39" s="12"/>
      <c r="I39" s="3"/>
      <c r="J39" s="3"/>
      <c r="K39" s="340"/>
      <c r="L39" s="2"/>
      <c r="M39" s="3"/>
      <c r="N39" s="3"/>
      <c r="O39" s="214"/>
    </row>
    <row r="40" spans="1:15" ht="17" customHeight="1" x14ac:dyDescent="0.15">
      <c r="A40" s="354"/>
      <c r="B40" s="342" t="s">
        <v>148</v>
      </c>
      <c r="C40" s="21"/>
      <c r="D40" s="21"/>
      <c r="E40" s="21"/>
      <c r="F40" s="21"/>
      <c r="G40" s="21"/>
      <c r="H40" s="21"/>
      <c r="I40" s="231"/>
      <c r="J40" s="343"/>
      <c r="K40" s="310">
        <f>SUM(I33:I38)</f>
        <v>288470.93023255811</v>
      </c>
      <c r="L40" s="2"/>
      <c r="M40" s="3"/>
      <c r="N40" s="3"/>
      <c r="O40" s="214"/>
    </row>
    <row r="41" spans="1:15" ht="16.5" customHeight="1" x14ac:dyDescent="0.15">
      <c r="A41" s="311" t="s">
        <v>169</v>
      </c>
      <c r="B41" s="312"/>
      <c r="C41" s="237"/>
      <c r="D41" s="347"/>
      <c r="E41" s="314"/>
      <c r="F41" s="314"/>
      <c r="G41" s="314"/>
      <c r="H41" s="314"/>
      <c r="I41" s="315"/>
      <c r="J41" s="315"/>
      <c r="K41" s="316"/>
      <c r="L41" s="2"/>
      <c r="M41" s="3"/>
      <c r="N41" s="3"/>
      <c r="O41" s="214"/>
    </row>
    <row r="42" spans="1:15" ht="16" customHeight="1" x14ac:dyDescent="0.15">
      <c r="A42" s="344"/>
      <c r="B42" s="348" t="s">
        <v>170</v>
      </c>
      <c r="C42" s="355"/>
      <c r="D42" s="279"/>
      <c r="E42" s="279"/>
      <c r="F42" s="279"/>
      <c r="G42" s="335">
        <v>0</v>
      </c>
      <c r="H42" s="279"/>
      <c r="I42" s="350">
        <f>G42*I6</f>
        <v>0</v>
      </c>
      <c r="J42" s="351"/>
      <c r="K42" s="320"/>
      <c r="L42" s="2"/>
      <c r="M42" s="3"/>
      <c r="N42" s="3"/>
      <c r="O42" s="214"/>
    </row>
    <row r="43" spans="1:15" ht="16" customHeight="1" x14ac:dyDescent="0.15">
      <c r="A43" s="346"/>
      <c r="B43" s="356" t="s">
        <v>171</v>
      </c>
      <c r="C43" s="357"/>
      <c r="D43" s="336"/>
      <c r="E43" s="336"/>
      <c r="F43" s="336" t="s">
        <v>275</v>
      </c>
      <c r="G43" s="444">
        <v>0.06</v>
      </c>
      <c r="H43" s="437" t="s">
        <v>260</v>
      </c>
      <c r="I43" s="438">
        <v>720000</v>
      </c>
      <c r="J43" s="333"/>
      <c r="K43" s="305"/>
      <c r="L43" s="2"/>
      <c r="M43" s="3"/>
      <c r="N43" s="3"/>
      <c r="O43" s="214"/>
    </row>
    <row r="44" spans="1:15" ht="16" customHeight="1" x14ac:dyDescent="0.15">
      <c r="A44" s="346"/>
      <c r="B44" s="44" t="s">
        <v>256</v>
      </c>
      <c r="C44" s="338"/>
      <c r="D44" s="338"/>
      <c r="E44" s="338"/>
      <c r="F44" s="338" t="s">
        <v>275</v>
      </c>
      <c r="G44" s="444">
        <f>0.1-G43</f>
        <v>4.0000000000000008E-2</v>
      </c>
      <c r="H44" s="439" t="s">
        <v>260</v>
      </c>
      <c r="I44" s="438">
        <v>480000</v>
      </c>
      <c r="J44" s="440" t="s">
        <v>257</v>
      </c>
      <c r="K44" s="441"/>
      <c r="L44" s="442"/>
      <c r="M44" s="440"/>
      <c r="N44" s="440"/>
      <c r="O44" s="443"/>
    </row>
    <row r="45" spans="1:15" ht="16" customHeight="1" x14ac:dyDescent="0.15">
      <c r="A45" s="346"/>
      <c r="B45" s="44" t="s">
        <v>172</v>
      </c>
      <c r="C45" s="12"/>
      <c r="D45" s="12"/>
      <c r="E45" s="12"/>
      <c r="F45" s="12"/>
      <c r="G45" s="44" t="s">
        <v>163</v>
      </c>
      <c r="H45" s="12"/>
      <c r="I45" s="3"/>
      <c r="J45" s="3"/>
      <c r="K45" s="305"/>
      <c r="L45" s="2"/>
      <c r="M45" s="3"/>
      <c r="N45" s="3"/>
      <c r="O45" s="214"/>
    </row>
    <row r="46" spans="1:15" ht="16" customHeight="1" x14ac:dyDescent="0.15">
      <c r="A46" s="346"/>
      <c r="B46" s="44" t="s">
        <v>173</v>
      </c>
      <c r="C46" s="12"/>
      <c r="D46" s="12"/>
      <c r="E46" s="12"/>
      <c r="F46" s="12"/>
      <c r="G46" s="44" t="s">
        <v>163</v>
      </c>
      <c r="H46" s="12"/>
      <c r="I46" s="3"/>
      <c r="J46" s="3"/>
      <c r="K46" s="305"/>
      <c r="L46" s="2"/>
      <c r="M46" s="3"/>
      <c r="N46" s="3"/>
      <c r="O46" s="214"/>
    </row>
    <row r="47" spans="1:15" ht="16" customHeight="1" x14ac:dyDescent="0.15">
      <c r="A47" s="346"/>
      <c r="B47" s="44" t="s">
        <v>174</v>
      </c>
      <c r="C47" s="12"/>
      <c r="D47" s="12"/>
      <c r="E47" s="12"/>
      <c r="F47" s="12"/>
      <c r="G47" s="44" t="s">
        <v>175</v>
      </c>
      <c r="H47" s="12"/>
      <c r="I47" s="3"/>
      <c r="J47" s="3"/>
      <c r="K47" s="305"/>
      <c r="L47" s="2"/>
      <c r="M47" s="3"/>
      <c r="N47" s="3"/>
      <c r="O47" s="214"/>
    </row>
    <row r="48" spans="1:15" ht="16.5" customHeight="1" x14ac:dyDescent="0.15">
      <c r="A48" s="346"/>
      <c r="B48" s="12"/>
      <c r="C48" s="12"/>
      <c r="D48" s="12"/>
      <c r="E48" s="12"/>
      <c r="F48" s="12"/>
      <c r="G48" s="12"/>
      <c r="H48" s="12"/>
      <c r="I48" s="3"/>
      <c r="J48" s="3"/>
      <c r="K48" s="340"/>
      <c r="L48" s="2"/>
      <c r="M48" s="3"/>
      <c r="N48" s="3"/>
      <c r="O48" s="214"/>
    </row>
    <row r="49" spans="1:15" ht="17" customHeight="1" x14ac:dyDescent="0.15">
      <c r="A49" s="341"/>
      <c r="B49" s="342" t="s">
        <v>148</v>
      </c>
      <c r="C49" s="12"/>
      <c r="D49" s="12"/>
      <c r="E49" s="12"/>
      <c r="F49" s="12"/>
      <c r="G49" s="12"/>
      <c r="H49" s="12"/>
      <c r="I49" s="3"/>
      <c r="J49" s="358"/>
      <c r="K49" s="310">
        <f>SUM(I42:I48)</f>
        <v>1200000</v>
      </c>
      <c r="L49" s="2"/>
      <c r="M49" s="3"/>
      <c r="N49" s="3"/>
      <c r="O49" s="214"/>
    </row>
    <row r="50" spans="1:15" ht="17" customHeight="1" x14ac:dyDescent="0.15">
      <c r="A50" s="359"/>
      <c r="B50" s="360"/>
      <c r="C50" s="250"/>
      <c r="D50" s="250"/>
      <c r="E50" s="250"/>
      <c r="F50" s="250"/>
      <c r="G50" s="250"/>
      <c r="H50" s="250"/>
      <c r="I50" s="161"/>
      <c r="J50" s="161"/>
      <c r="K50" s="361"/>
      <c r="L50" s="2"/>
      <c r="M50" s="3"/>
      <c r="N50" s="3"/>
      <c r="O50" s="214"/>
    </row>
    <row r="51" spans="1:15" ht="16.5" customHeight="1" x14ac:dyDescent="0.15">
      <c r="A51" s="362"/>
      <c r="B51" s="363"/>
      <c r="C51" s="184"/>
      <c r="D51" s="184"/>
      <c r="E51" s="184"/>
      <c r="F51" s="184"/>
      <c r="G51" s="184"/>
      <c r="H51" s="184"/>
      <c r="I51" s="364"/>
      <c r="J51" s="364"/>
      <c r="K51" s="316"/>
      <c r="L51" s="2"/>
      <c r="M51" s="3"/>
      <c r="N51" s="3"/>
      <c r="O51" s="214"/>
    </row>
    <row r="52" spans="1:15" ht="16" customHeight="1" x14ac:dyDescent="0.15">
      <c r="A52" s="311" t="s">
        <v>176</v>
      </c>
      <c r="B52" s="312"/>
      <c r="C52" s="313"/>
      <c r="D52" s="314"/>
      <c r="E52" s="314"/>
      <c r="F52" s="314"/>
      <c r="G52" s="314"/>
      <c r="H52" s="314"/>
      <c r="I52" s="315"/>
      <c r="J52" s="315"/>
      <c r="K52" s="365"/>
      <c r="L52" s="2"/>
      <c r="M52" s="3"/>
      <c r="N52" s="3"/>
      <c r="O52" s="214"/>
    </row>
    <row r="53" spans="1:15" ht="16" customHeight="1" x14ac:dyDescent="0.15">
      <c r="A53" s="344"/>
      <c r="B53" s="27" t="s">
        <v>177</v>
      </c>
      <c r="C53" s="366">
        <v>1.4999999999999999E-2</v>
      </c>
      <c r="D53" s="27" t="s">
        <v>178</v>
      </c>
      <c r="E53" s="14"/>
      <c r="F53" s="14"/>
      <c r="G53" s="14"/>
      <c r="H53" s="14"/>
      <c r="I53" s="319">
        <f>I16*0.7*C53</f>
        <v>77279.633720930229</v>
      </c>
      <c r="J53" s="289"/>
      <c r="K53" s="320"/>
      <c r="L53" s="2"/>
      <c r="M53" s="3"/>
      <c r="N53" s="3"/>
      <c r="O53" s="214"/>
    </row>
    <row r="54" spans="1:15" ht="16" customHeight="1" x14ac:dyDescent="0.15">
      <c r="A54" s="346"/>
      <c r="B54" s="44" t="s">
        <v>179</v>
      </c>
      <c r="C54" s="41">
        <v>0</v>
      </c>
      <c r="D54" s="44" t="s">
        <v>178</v>
      </c>
      <c r="E54" s="12"/>
      <c r="F54" s="12"/>
      <c r="G54" s="12"/>
      <c r="H54" s="12"/>
      <c r="I54" s="214">
        <f>C54*I16</f>
        <v>0</v>
      </c>
      <c r="J54" s="3"/>
      <c r="K54" s="305"/>
      <c r="L54" s="2"/>
      <c r="M54" s="3"/>
      <c r="N54" s="3"/>
      <c r="O54" s="214"/>
    </row>
    <row r="55" spans="1:15" ht="16" customHeight="1" x14ac:dyDescent="0.15">
      <c r="A55" s="346"/>
      <c r="B55" s="44" t="s">
        <v>180</v>
      </c>
      <c r="C55" s="12"/>
      <c r="D55" s="12"/>
      <c r="E55" s="12"/>
      <c r="F55" s="12"/>
      <c r="G55" s="12"/>
      <c r="H55" s="12"/>
      <c r="I55" s="214">
        <v>100000</v>
      </c>
      <c r="J55" s="3"/>
      <c r="K55" s="305"/>
      <c r="L55" s="2"/>
      <c r="M55" s="3"/>
      <c r="N55" s="3"/>
      <c r="O55" s="214"/>
    </row>
    <row r="56" spans="1:15" ht="16" customHeight="1" x14ac:dyDescent="0.15">
      <c r="A56" s="346"/>
      <c r="B56" s="44" t="s">
        <v>181</v>
      </c>
      <c r="C56" s="48"/>
      <c r="D56" s="44" t="s">
        <v>182</v>
      </c>
      <c r="E56" s="12"/>
      <c r="F56" s="44">
        <v>1</v>
      </c>
      <c r="G56" s="44" t="s">
        <v>183</v>
      </c>
      <c r="H56" s="12"/>
      <c r="I56" s="214">
        <f t="shared" ref="I56:I63" si="0">C56*F56</f>
        <v>0</v>
      </c>
      <c r="J56" s="3"/>
      <c r="K56" s="305"/>
      <c r="L56" s="2"/>
      <c r="M56" s="3"/>
      <c r="N56" s="3"/>
      <c r="O56" s="214"/>
    </row>
    <row r="57" spans="1:15" ht="16" customHeight="1" x14ac:dyDescent="0.15">
      <c r="A57" s="346"/>
      <c r="B57" s="12"/>
      <c r="C57" s="48">
        <v>20000</v>
      </c>
      <c r="D57" s="44" t="s">
        <v>184</v>
      </c>
      <c r="E57" s="12"/>
      <c r="F57" s="44">
        <v>4</v>
      </c>
      <c r="G57" s="44" t="s">
        <v>183</v>
      </c>
      <c r="H57" s="12"/>
      <c r="I57" s="214">
        <f t="shared" si="0"/>
        <v>80000</v>
      </c>
      <c r="J57" s="3"/>
      <c r="K57" s="305"/>
      <c r="L57" s="2"/>
      <c r="M57" s="3"/>
      <c r="N57" s="3"/>
      <c r="O57" s="214"/>
    </row>
    <row r="58" spans="1:15" ht="16" customHeight="1" x14ac:dyDescent="0.15">
      <c r="A58" s="304"/>
      <c r="B58" s="44" t="s">
        <v>185</v>
      </c>
      <c r="C58" s="48">
        <v>500</v>
      </c>
      <c r="D58" s="44" t="s">
        <v>186</v>
      </c>
      <c r="E58" s="12"/>
      <c r="F58" s="44">
        <v>0</v>
      </c>
      <c r="G58" s="44" t="s">
        <v>183</v>
      </c>
      <c r="H58" s="12"/>
      <c r="I58" s="214">
        <f t="shared" si="0"/>
        <v>0</v>
      </c>
      <c r="J58" s="3"/>
      <c r="K58" s="305"/>
      <c r="L58" s="2"/>
      <c r="M58" s="3"/>
      <c r="N58" s="3"/>
      <c r="O58" s="214"/>
    </row>
    <row r="59" spans="1:15" ht="16" customHeight="1" x14ac:dyDescent="0.15">
      <c r="A59" s="304"/>
      <c r="B59" s="12"/>
      <c r="C59" s="48">
        <v>500</v>
      </c>
      <c r="D59" s="44" t="s">
        <v>187</v>
      </c>
      <c r="E59" s="12"/>
      <c r="F59" s="44">
        <v>9</v>
      </c>
      <c r="G59" s="44" t="s">
        <v>188</v>
      </c>
      <c r="H59" s="12"/>
      <c r="I59" s="214">
        <f t="shared" si="0"/>
        <v>4500</v>
      </c>
      <c r="J59" s="3"/>
      <c r="K59" s="305"/>
      <c r="L59" s="2"/>
      <c r="M59" s="3"/>
      <c r="N59" s="3"/>
      <c r="O59" s="214"/>
    </row>
    <row r="60" spans="1:15" ht="16" customHeight="1" x14ac:dyDescent="0.15">
      <c r="A60" s="346"/>
      <c r="B60" s="44" t="s">
        <v>189</v>
      </c>
      <c r="C60" s="48">
        <v>500</v>
      </c>
      <c r="D60" s="44" t="s">
        <v>186</v>
      </c>
      <c r="E60" s="12"/>
      <c r="F60" s="44">
        <v>0</v>
      </c>
      <c r="G60" s="44" t="s">
        <v>183</v>
      </c>
      <c r="H60" s="12"/>
      <c r="I60" s="214">
        <f t="shared" si="0"/>
        <v>0</v>
      </c>
      <c r="J60" s="3"/>
      <c r="K60" s="305"/>
      <c r="L60" s="2"/>
      <c r="M60" s="3"/>
      <c r="N60" s="3"/>
      <c r="O60" s="214"/>
    </row>
    <row r="61" spans="1:15" ht="16" customHeight="1" x14ac:dyDescent="0.15">
      <c r="A61" s="346"/>
      <c r="B61" s="12"/>
      <c r="C61" s="48">
        <v>3999</v>
      </c>
      <c r="D61" s="44" t="s">
        <v>187</v>
      </c>
      <c r="E61" s="12"/>
      <c r="F61" s="44">
        <f>2*'Proforma 2'!E7</f>
        <v>12</v>
      </c>
      <c r="G61" s="44" t="s">
        <v>188</v>
      </c>
      <c r="H61" s="12"/>
      <c r="I61" s="214">
        <f t="shared" si="0"/>
        <v>47988</v>
      </c>
      <c r="J61" s="3"/>
      <c r="K61" s="305"/>
      <c r="L61" s="2"/>
      <c r="M61" s="3"/>
      <c r="N61" s="3"/>
      <c r="O61" s="214"/>
    </row>
    <row r="62" spans="1:15" ht="16" customHeight="1" x14ac:dyDescent="0.15">
      <c r="A62" s="346"/>
      <c r="B62" s="44" t="s">
        <v>190</v>
      </c>
      <c r="C62" s="48">
        <v>3068</v>
      </c>
      <c r="D62" s="44" t="s">
        <v>186</v>
      </c>
      <c r="E62" s="12"/>
      <c r="F62" s="44">
        <v>0</v>
      </c>
      <c r="G62" s="44" t="s">
        <v>183</v>
      </c>
      <c r="H62" s="12"/>
      <c r="I62" s="214">
        <f t="shared" si="0"/>
        <v>0</v>
      </c>
      <c r="J62" s="3"/>
      <c r="K62" s="305"/>
      <c r="L62" s="2"/>
      <c r="M62" s="3"/>
      <c r="N62" s="3"/>
      <c r="O62" s="214"/>
    </row>
    <row r="63" spans="1:15" ht="16" customHeight="1" x14ac:dyDescent="0.15">
      <c r="A63" s="346"/>
      <c r="B63" s="12"/>
      <c r="C63" s="48">
        <v>2500</v>
      </c>
      <c r="D63" s="44" t="s">
        <v>187</v>
      </c>
      <c r="E63" s="12"/>
      <c r="F63" s="44">
        <f>F61</f>
        <v>12</v>
      </c>
      <c r="G63" s="44" t="s">
        <v>188</v>
      </c>
      <c r="H63" s="12"/>
      <c r="I63" s="214">
        <f t="shared" si="0"/>
        <v>30000</v>
      </c>
      <c r="J63" s="3"/>
      <c r="K63" s="305"/>
      <c r="L63" s="2"/>
      <c r="M63" s="3"/>
      <c r="N63" s="3"/>
      <c r="O63" s="214"/>
    </row>
    <row r="64" spans="1:15" ht="16" customHeight="1" x14ac:dyDescent="0.15">
      <c r="A64" s="367" t="s">
        <v>191</v>
      </c>
      <c r="B64" s="44" t="s">
        <v>192</v>
      </c>
      <c r="C64" s="48">
        <f>17.81-2.08</f>
        <v>15.729999999999999</v>
      </c>
      <c r="D64" s="44" t="s">
        <v>193</v>
      </c>
      <c r="E64" s="12"/>
      <c r="F64" s="44">
        <v>1</v>
      </c>
      <c r="G64" s="44" t="s">
        <v>183</v>
      </c>
      <c r="H64" s="12"/>
      <c r="I64" s="214">
        <v>250000</v>
      </c>
      <c r="J64" s="3"/>
      <c r="K64" s="305"/>
      <c r="L64" s="2"/>
      <c r="M64" s="3"/>
      <c r="N64" s="3"/>
      <c r="O64" s="214"/>
    </row>
    <row r="65" spans="1:15" ht="16" customHeight="1" x14ac:dyDescent="0.15">
      <c r="A65" s="11"/>
      <c r="B65" s="12"/>
      <c r="C65" s="44" t="s">
        <v>194</v>
      </c>
      <c r="D65" s="12"/>
      <c r="E65" s="12"/>
      <c r="F65" s="12"/>
      <c r="G65" s="12"/>
      <c r="H65" s="3"/>
      <c r="I65" s="3"/>
      <c r="J65" s="3"/>
      <c r="K65" s="305"/>
      <c r="L65" s="2"/>
      <c r="M65" s="3"/>
      <c r="N65" s="3"/>
      <c r="O65" s="214"/>
    </row>
    <row r="66" spans="1:15" ht="16" customHeight="1" x14ac:dyDescent="0.15">
      <c r="A66" s="368" t="s">
        <v>195</v>
      </c>
      <c r="B66" s="44" t="s">
        <v>196</v>
      </c>
      <c r="C66" s="48">
        <v>5200</v>
      </c>
      <c r="D66" s="44" t="s">
        <v>197</v>
      </c>
      <c r="E66" s="12"/>
      <c r="F66" s="44">
        <f>F64</f>
        <v>1</v>
      </c>
      <c r="G66" s="44" t="s">
        <v>183</v>
      </c>
      <c r="H66" s="12"/>
      <c r="I66" s="214">
        <f>C66</f>
        <v>5200</v>
      </c>
      <c r="J66" s="3"/>
      <c r="K66" s="305"/>
      <c r="L66" s="2"/>
      <c r="M66" s="3"/>
      <c r="N66" s="3"/>
      <c r="O66" s="214"/>
    </row>
    <row r="67" spans="1:15" ht="16" customHeight="1" x14ac:dyDescent="0.15">
      <c r="A67" s="3"/>
      <c r="B67" s="44" t="s">
        <v>198</v>
      </c>
      <c r="C67" s="48">
        <v>0</v>
      </c>
      <c r="D67" s="44" t="s">
        <v>199</v>
      </c>
      <c r="E67" s="12"/>
      <c r="F67" s="12"/>
      <c r="G67" s="12"/>
      <c r="H67" s="12"/>
      <c r="I67" s="214">
        <v>0</v>
      </c>
      <c r="J67" s="3"/>
      <c r="K67" s="305"/>
      <c r="L67" s="2"/>
      <c r="M67" s="3"/>
      <c r="N67" s="3"/>
      <c r="O67" s="214"/>
    </row>
    <row r="68" spans="1:15" ht="16" customHeight="1" x14ac:dyDescent="0.15">
      <c r="A68" s="346"/>
      <c r="B68" s="44" t="s">
        <v>200</v>
      </c>
      <c r="C68" s="48">
        <v>0</v>
      </c>
      <c r="D68" s="44" t="s">
        <v>186</v>
      </c>
      <c r="E68" s="12"/>
      <c r="F68" s="214">
        <f>'Proforma 2'!B25</f>
        <v>0</v>
      </c>
      <c r="G68" s="44" t="s">
        <v>183</v>
      </c>
      <c r="H68" s="12"/>
      <c r="I68" s="3"/>
      <c r="J68" s="3"/>
      <c r="K68" s="305"/>
      <c r="L68" s="2"/>
      <c r="M68" s="3"/>
      <c r="N68" s="3"/>
      <c r="O68" s="214"/>
    </row>
    <row r="69" spans="1:15" ht="16.5" customHeight="1" x14ac:dyDescent="0.15">
      <c r="A69" s="346"/>
      <c r="B69" s="12"/>
      <c r="C69" s="12"/>
      <c r="D69" s="12"/>
      <c r="E69" s="12"/>
      <c r="F69" s="12"/>
      <c r="G69" s="12"/>
      <c r="H69" s="12"/>
      <c r="I69" s="3"/>
      <c r="J69" s="3"/>
      <c r="K69" s="340"/>
      <c r="L69" s="2"/>
      <c r="M69" s="3"/>
      <c r="N69" s="3"/>
      <c r="O69" s="214"/>
    </row>
    <row r="70" spans="1:15" ht="17" customHeight="1" x14ac:dyDescent="0.15">
      <c r="A70" s="341"/>
      <c r="B70" s="342" t="s">
        <v>148</v>
      </c>
      <c r="C70" s="21"/>
      <c r="D70" s="21"/>
      <c r="E70" s="21"/>
      <c r="F70" s="21"/>
      <c r="G70" s="21"/>
      <c r="H70" s="21"/>
      <c r="I70" s="231"/>
      <c r="J70" s="343"/>
      <c r="K70" s="310">
        <f>SUM(I53:I68)</f>
        <v>594967.6337209302</v>
      </c>
      <c r="L70" s="2"/>
      <c r="M70" s="3"/>
      <c r="N70" s="3"/>
      <c r="O70" s="214"/>
    </row>
    <row r="71" spans="1:15" ht="16.5" customHeight="1" x14ac:dyDescent="0.15">
      <c r="A71" s="311" t="s">
        <v>201</v>
      </c>
      <c r="B71" s="312"/>
      <c r="C71" s="313"/>
      <c r="D71" s="314"/>
      <c r="E71" s="314"/>
      <c r="F71" s="314"/>
      <c r="G71" s="314"/>
      <c r="H71" s="314"/>
      <c r="I71" s="315"/>
      <c r="J71" s="315"/>
      <c r="K71" s="316"/>
      <c r="L71" s="2"/>
      <c r="M71" s="3"/>
      <c r="N71" s="3"/>
      <c r="O71" s="214"/>
    </row>
    <row r="72" spans="1:15" ht="16" customHeight="1" x14ac:dyDescent="0.15">
      <c r="A72" s="344"/>
      <c r="B72" s="27" t="s">
        <v>202</v>
      </c>
      <c r="C72" s="14"/>
      <c r="D72" s="14"/>
      <c r="E72" s="14"/>
      <c r="F72" s="14"/>
      <c r="G72" s="27" t="s">
        <v>175</v>
      </c>
      <c r="H72" s="14"/>
      <c r="I72" s="319">
        <v>20000</v>
      </c>
      <c r="J72" s="289"/>
      <c r="K72" s="320"/>
      <c r="L72" s="2"/>
      <c r="M72" s="3"/>
      <c r="N72" s="3"/>
      <c r="O72" s="214"/>
    </row>
    <row r="73" spans="1:15" ht="16" customHeight="1" x14ac:dyDescent="0.15">
      <c r="A73" s="346"/>
      <c r="B73" s="44" t="s">
        <v>203</v>
      </c>
      <c r="C73" s="12"/>
      <c r="D73" s="12"/>
      <c r="E73" s="12"/>
      <c r="F73" s="12"/>
      <c r="G73" s="44" t="s">
        <v>175</v>
      </c>
      <c r="H73" s="12"/>
      <c r="I73" s="3"/>
      <c r="J73" s="3"/>
      <c r="K73" s="305"/>
      <c r="L73" s="2"/>
      <c r="M73" s="3"/>
      <c r="N73" s="3"/>
      <c r="O73" s="214"/>
    </row>
    <row r="74" spans="1:15" ht="16" customHeight="1" x14ac:dyDescent="0.15">
      <c r="A74" s="346"/>
      <c r="B74" s="44" t="s">
        <v>204</v>
      </c>
      <c r="C74" s="12"/>
      <c r="D74" s="12"/>
      <c r="E74" s="12"/>
      <c r="F74" s="12"/>
      <c r="G74" s="12"/>
      <c r="H74" s="12"/>
      <c r="I74" s="214">
        <v>0</v>
      </c>
      <c r="J74" s="3"/>
      <c r="K74" s="305"/>
      <c r="L74" s="2"/>
      <c r="M74" s="3"/>
      <c r="N74" s="3"/>
      <c r="O74" s="214"/>
    </row>
    <row r="75" spans="1:15" ht="16" customHeight="1" x14ac:dyDescent="0.15">
      <c r="A75" s="346"/>
      <c r="B75" s="44" t="s">
        <v>205</v>
      </c>
      <c r="C75" s="12"/>
      <c r="D75" s="12"/>
      <c r="E75" s="12"/>
      <c r="F75" s="12"/>
      <c r="G75" s="12"/>
      <c r="H75" s="12"/>
      <c r="I75" s="322">
        <v>0</v>
      </c>
      <c r="J75" s="3"/>
      <c r="K75" s="305"/>
      <c r="L75" s="2"/>
      <c r="M75" s="3"/>
      <c r="N75" s="3"/>
      <c r="O75" s="214"/>
    </row>
    <row r="76" spans="1:15" ht="16.5" customHeight="1" x14ac:dyDescent="0.15">
      <c r="A76" s="346"/>
      <c r="B76" s="44" t="s">
        <v>206</v>
      </c>
      <c r="C76" s="12"/>
      <c r="D76" s="12"/>
      <c r="E76" s="12"/>
      <c r="F76" s="12"/>
      <c r="G76" s="44" t="s">
        <v>207</v>
      </c>
      <c r="H76" s="12"/>
      <c r="I76" s="214">
        <v>0</v>
      </c>
      <c r="J76" s="3"/>
      <c r="K76" s="340"/>
      <c r="L76" s="2"/>
      <c r="M76" s="3"/>
      <c r="N76" s="3"/>
      <c r="O76" s="214"/>
    </row>
    <row r="77" spans="1:15" ht="17" customHeight="1" x14ac:dyDescent="0.15">
      <c r="A77" s="341"/>
      <c r="B77" s="342" t="s">
        <v>148</v>
      </c>
      <c r="C77" s="21"/>
      <c r="D77" s="21"/>
      <c r="E77" s="21"/>
      <c r="F77" s="21"/>
      <c r="G77" s="21"/>
      <c r="H77" s="21"/>
      <c r="I77" s="231"/>
      <c r="J77" s="343"/>
      <c r="K77" s="310">
        <f>SUM(I72:I76)</f>
        <v>20000</v>
      </c>
      <c r="L77" s="2"/>
      <c r="M77" s="3"/>
      <c r="N77" s="3"/>
      <c r="O77" s="214"/>
    </row>
    <row r="78" spans="1:15" ht="16.5" customHeight="1" x14ac:dyDescent="0.15">
      <c r="A78" s="311" t="s">
        <v>208</v>
      </c>
      <c r="B78" s="369"/>
      <c r="C78" s="313"/>
      <c r="D78" s="314"/>
      <c r="E78" s="314"/>
      <c r="F78" s="314"/>
      <c r="G78" s="314"/>
      <c r="H78" s="314"/>
      <c r="I78" s="315"/>
      <c r="J78" s="315"/>
      <c r="K78" s="316"/>
      <c r="L78" s="2"/>
      <c r="M78" s="3"/>
      <c r="N78" s="3"/>
      <c r="O78" s="214"/>
    </row>
    <row r="79" spans="1:15" ht="16" customHeight="1" x14ac:dyDescent="0.15">
      <c r="A79" s="370"/>
      <c r="B79" s="27" t="s">
        <v>209</v>
      </c>
      <c r="C79" s="345">
        <v>0.01</v>
      </c>
      <c r="D79" s="27" t="s">
        <v>210</v>
      </c>
      <c r="E79" s="14"/>
      <c r="F79" s="14"/>
      <c r="G79" s="14"/>
      <c r="H79" s="14"/>
      <c r="I79" s="319">
        <f>C79*'Proforma 2'!H30</f>
        <v>94856.564201739136</v>
      </c>
      <c r="J79" s="289"/>
      <c r="K79" s="320"/>
      <c r="L79" s="2"/>
      <c r="M79" s="3"/>
      <c r="N79" s="3"/>
      <c r="O79" s="214"/>
    </row>
    <row r="80" spans="1:15" ht="16" customHeight="1" x14ac:dyDescent="0.15">
      <c r="A80" s="304"/>
      <c r="B80" s="44"/>
      <c r="C80" s="41"/>
      <c r="D80" s="44"/>
      <c r="E80" s="12"/>
      <c r="F80" s="12"/>
      <c r="G80" s="12"/>
      <c r="H80" s="12"/>
      <c r="I80" s="214"/>
      <c r="J80" s="3"/>
      <c r="K80" s="305"/>
      <c r="L80" s="2"/>
      <c r="M80" s="3"/>
      <c r="N80" s="3"/>
      <c r="O80" s="214"/>
    </row>
    <row r="81" spans="1:15" ht="16" customHeight="1" x14ac:dyDescent="0.15">
      <c r="A81" s="304"/>
      <c r="B81" s="44" t="s">
        <v>211</v>
      </c>
      <c r="C81" s="12"/>
      <c r="D81" s="12"/>
      <c r="E81" s="12"/>
      <c r="F81" s="12"/>
      <c r="G81" s="12"/>
      <c r="H81" s="12"/>
      <c r="I81" s="214">
        <f>'Proforma 2'!I15+'Proforma 2'!I16+'Proforma 2'!I17</f>
        <v>512225.44668939133</v>
      </c>
      <c r="J81" s="3"/>
      <c r="K81" s="305"/>
      <c r="L81" s="2"/>
      <c r="M81" s="3"/>
      <c r="N81" s="3"/>
      <c r="O81" s="214"/>
    </row>
    <row r="82" spans="1:15" ht="16" customHeight="1" x14ac:dyDescent="0.15">
      <c r="A82" s="304"/>
      <c r="B82" s="44" t="s">
        <v>212</v>
      </c>
      <c r="C82" s="12"/>
      <c r="D82" s="12"/>
      <c r="E82" s="12"/>
      <c r="F82" s="12"/>
      <c r="G82" s="44" t="s">
        <v>163</v>
      </c>
      <c r="H82" s="12"/>
      <c r="I82" s="3"/>
      <c r="J82" s="3"/>
      <c r="K82" s="305"/>
      <c r="L82" s="2"/>
      <c r="M82" s="3"/>
      <c r="N82" s="3"/>
      <c r="O82" s="214"/>
    </row>
    <row r="83" spans="1:15" ht="16" customHeight="1" x14ac:dyDescent="0.15">
      <c r="A83" s="304"/>
      <c r="B83" s="44" t="s">
        <v>19</v>
      </c>
      <c r="C83" s="12"/>
      <c r="D83" s="12"/>
      <c r="E83" s="12"/>
      <c r="F83" s="12"/>
      <c r="G83" s="12"/>
      <c r="H83" s="12"/>
      <c r="I83" s="214">
        <f>'Proforma 2'!I14</f>
        <v>0</v>
      </c>
      <c r="J83" s="3"/>
      <c r="K83" s="305"/>
      <c r="L83" s="2"/>
      <c r="M83" s="3"/>
      <c r="N83" s="3"/>
      <c r="O83" s="214"/>
    </row>
    <row r="84" spans="1:15" ht="16" customHeight="1" x14ac:dyDescent="0.15">
      <c r="A84" s="371" t="s">
        <v>213</v>
      </c>
      <c r="B84" s="44" t="s">
        <v>214</v>
      </c>
      <c r="C84" s="12"/>
      <c r="D84" s="12"/>
      <c r="E84" s="12"/>
      <c r="F84" s="12"/>
      <c r="G84" s="12"/>
      <c r="H84" s="12"/>
      <c r="I84" s="214">
        <f>1904/2</f>
        <v>952</v>
      </c>
      <c r="J84" s="3"/>
      <c r="K84" s="305"/>
      <c r="L84" s="2"/>
      <c r="M84" s="3"/>
      <c r="N84" s="3"/>
      <c r="O84" s="214"/>
    </row>
    <row r="85" spans="1:15" ht="16.5" customHeight="1" x14ac:dyDescent="0.15">
      <c r="A85" s="304"/>
      <c r="B85" s="44" t="s">
        <v>215</v>
      </c>
      <c r="C85" s="12"/>
      <c r="D85" s="12"/>
      <c r="E85" s="12"/>
      <c r="F85" s="12"/>
      <c r="G85" s="12"/>
      <c r="H85" s="12"/>
      <c r="I85" s="214">
        <v>550</v>
      </c>
      <c r="J85" s="3"/>
      <c r="K85" s="340"/>
      <c r="L85" s="2"/>
      <c r="M85" s="3"/>
      <c r="N85" s="3"/>
      <c r="O85" s="214"/>
    </row>
    <row r="86" spans="1:15" ht="17" customHeight="1" x14ac:dyDescent="0.15">
      <c r="A86" s="341"/>
      <c r="B86" s="342" t="s">
        <v>148</v>
      </c>
      <c r="C86" s="21"/>
      <c r="D86" s="21"/>
      <c r="E86" s="21"/>
      <c r="F86" s="21"/>
      <c r="G86" s="21"/>
      <c r="H86" s="21"/>
      <c r="I86" s="231"/>
      <c r="J86" s="343"/>
      <c r="K86" s="310">
        <f>SUM(I79:I85)</f>
        <v>608584.01089113043</v>
      </c>
      <c r="L86" s="2"/>
      <c r="M86" s="3"/>
      <c r="N86" s="3"/>
      <c r="O86" s="214"/>
    </row>
    <row r="87" spans="1:15" ht="16.5" customHeight="1" x14ac:dyDescent="0.15">
      <c r="A87" s="311" t="s">
        <v>216</v>
      </c>
      <c r="B87" s="312"/>
      <c r="C87" s="313"/>
      <c r="D87" s="314"/>
      <c r="E87" s="314"/>
      <c r="F87" s="314"/>
      <c r="G87" s="314"/>
      <c r="H87" s="314"/>
      <c r="I87" s="315"/>
      <c r="J87" s="315"/>
      <c r="K87" s="316"/>
      <c r="L87" s="2"/>
      <c r="M87" s="3"/>
      <c r="N87" s="3"/>
      <c r="O87" s="214"/>
    </row>
    <row r="88" spans="1:15" ht="16" customHeight="1" x14ac:dyDescent="0.15">
      <c r="A88" s="344"/>
      <c r="B88" s="27" t="s">
        <v>217</v>
      </c>
      <c r="C88" s="345">
        <v>0</v>
      </c>
      <c r="D88" s="14"/>
      <c r="E88" s="14"/>
      <c r="F88" s="14"/>
      <c r="G88" s="14"/>
      <c r="H88" s="14"/>
      <c r="I88" s="319">
        <f>C88*'Proforma 2'!H30</f>
        <v>0</v>
      </c>
      <c r="J88" s="289"/>
      <c r="K88" s="320"/>
      <c r="L88" s="2"/>
      <c r="M88" s="3"/>
      <c r="N88" s="3"/>
      <c r="O88" s="214"/>
    </row>
    <row r="89" spans="1:15" ht="16" customHeight="1" x14ac:dyDescent="0.15">
      <c r="A89" s="346"/>
      <c r="B89" s="44" t="s">
        <v>218</v>
      </c>
      <c r="C89" s="12"/>
      <c r="D89" s="12"/>
      <c r="E89" s="12"/>
      <c r="F89" s="12"/>
      <c r="G89" s="12"/>
      <c r="H89" s="12"/>
      <c r="I89" s="3"/>
      <c r="J89" s="3"/>
      <c r="K89" s="305"/>
      <c r="L89" s="2"/>
      <c r="M89" s="3"/>
      <c r="N89" s="3"/>
      <c r="O89" s="214"/>
    </row>
    <row r="90" spans="1:15" ht="16" customHeight="1" x14ac:dyDescent="0.15">
      <c r="A90" s="346"/>
      <c r="B90" s="44" t="s">
        <v>219</v>
      </c>
      <c r="C90" s="12"/>
      <c r="D90" s="12"/>
      <c r="E90" s="12"/>
      <c r="F90" s="12"/>
      <c r="G90" s="12"/>
      <c r="H90" s="12"/>
      <c r="I90" s="3"/>
      <c r="J90" s="3"/>
      <c r="K90" s="305"/>
      <c r="L90" s="2"/>
      <c r="M90" s="3"/>
      <c r="N90" s="3"/>
      <c r="O90" s="214"/>
    </row>
    <row r="91" spans="1:15" ht="16.5" customHeight="1" x14ac:dyDescent="0.15">
      <c r="A91" s="346"/>
      <c r="B91" s="12"/>
      <c r="C91" s="12"/>
      <c r="D91" s="12"/>
      <c r="E91" s="12"/>
      <c r="F91" s="12"/>
      <c r="G91" s="12"/>
      <c r="H91" s="12"/>
      <c r="I91" s="3"/>
      <c r="J91" s="3"/>
      <c r="K91" s="340"/>
      <c r="L91" s="2"/>
      <c r="M91" s="3"/>
      <c r="N91" s="3"/>
      <c r="O91" s="214"/>
    </row>
    <row r="92" spans="1:15" ht="17" customHeight="1" x14ac:dyDescent="0.15">
      <c r="A92" s="372"/>
      <c r="B92" s="373" t="s">
        <v>148</v>
      </c>
      <c r="C92" s="250"/>
      <c r="D92" s="250"/>
      <c r="E92" s="250"/>
      <c r="F92" s="250"/>
      <c r="G92" s="250"/>
      <c r="H92" s="250"/>
      <c r="I92" s="161"/>
      <c r="J92" s="340"/>
      <c r="K92" s="310">
        <f>SUM(I88:I91)</f>
        <v>0</v>
      </c>
      <c r="L92" s="2"/>
      <c r="M92" s="3"/>
      <c r="N92" s="3"/>
      <c r="O92" s="214"/>
    </row>
    <row r="93" spans="1:15" ht="16.5" customHeight="1" x14ac:dyDescent="0.15">
      <c r="A93" s="169" t="s">
        <v>220</v>
      </c>
      <c r="B93" s="374"/>
      <c r="C93" s="183"/>
      <c r="D93" s="184"/>
      <c r="E93" s="184"/>
      <c r="F93" s="184"/>
      <c r="G93" s="184"/>
      <c r="H93" s="184"/>
      <c r="I93" s="364"/>
      <c r="J93" s="364"/>
      <c r="K93" s="316"/>
      <c r="L93" s="2"/>
      <c r="M93" s="3"/>
      <c r="N93" s="3"/>
      <c r="O93" s="214"/>
    </row>
    <row r="94" spans="1:15" ht="16" customHeight="1" x14ac:dyDescent="0.15">
      <c r="A94" s="344"/>
      <c r="B94" s="27" t="s">
        <v>221</v>
      </c>
      <c r="C94" s="14"/>
      <c r="D94" s="14"/>
      <c r="E94" s="14"/>
      <c r="F94" s="14"/>
      <c r="G94" s="14"/>
      <c r="H94" s="14"/>
      <c r="I94" s="319">
        <v>0</v>
      </c>
      <c r="J94" s="289"/>
      <c r="K94" s="320"/>
      <c r="L94" s="2"/>
      <c r="M94" s="3"/>
      <c r="N94" s="3"/>
      <c r="O94" s="214"/>
    </row>
    <row r="95" spans="1:15" ht="16" customHeight="1" x14ac:dyDescent="0.15">
      <c r="A95" s="346"/>
      <c r="B95" s="44" t="s">
        <v>222</v>
      </c>
      <c r="C95" s="12"/>
      <c r="D95" s="12"/>
      <c r="E95" s="12"/>
      <c r="F95" s="12"/>
      <c r="G95" s="12"/>
      <c r="H95" s="12"/>
      <c r="I95" s="214">
        <v>0</v>
      </c>
      <c r="J95" s="3"/>
      <c r="K95" s="305"/>
      <c r="L95" s="2"/>
      <c r="M95" s="3"/>
      <c r="N95" s="3"/>
      <c r="O95" s="214"/>
    </row>
    <row r="96" spans="1:15" ht="16" customHeight="1" x14ac:dyDescent="0.15">
      <c r="A96" s="346"/>
      <c r="B96" s="44" t="s">
        <v>223</v>
      </c>
      <c r="C96" s="12"/>
      <c r="D96" s="12"/>
      <c r="E96" s="12"/>
      <c r="F96" s="12"/>
      <c r="G96" s="12"/>
      <c r="H96" s="12"/>
      <c r="I96" s="214">
        <v>0</v>
      </c>
      <c r="J96" s="3"/>
      <c r="K96" s="305"/>
      <c r="L96" s="2"/>
      <c r="M96" s="3"/>
      <c r="N96" s="3"/>
      <c r="O96" s="214"/>
    </row>
    <row r="97" spans="1:15" ht="16" customHeight="1" x14ac:dyDescent="0.15">
      <c r="A97" s="346"/>
      <c r="B97" s="44" t="s">
        <v>224</v>
      </c>
      <c r="C97" s="12"/>
      <c r="D97" s="12"/>
      <c r="E97" s="12"/>
      <c r="F97" s="12"/>
      <c r="G97" s="12"/>
      <c r="H97" s="12"/>
      <c r="I97" s="214">
        <v>0</v>
      </c>
      <c r="J97" s="3"/>
      <c r="K97" s="305"/>
      <c r="L97" s="2"/>
      <c r="M97" s="3"/>
      <c r="N97" s="3"/>
      <c r="O97" s="214"/>
    </row>
    <row r="98" spans="1:15" ht="16" customHeight="1" x14ac:dyDescent="0.15">
      <c r="A98" s="346"/>
      <c r="B98" s="44" t="s">
        <v>225</v>
      </c>
      <c r="C98" s="12"/>
      <c r="D98" s="12"/>
      <c r="E98" s="12"/>
      <c r="F98" s="12"/>
      <c r="G98" s="12"/>
      <c r="H98" s="12"/>
      <c r="I98" s="214">
        <v>0</v>
      </c>
      <c r="J98" s="3"/>
      <c r="K98" s="305"/>
      <c r="L98" s="2"/>
      <c r="M98" s="3"/>
      <c r="N98" s="3"/>
      <c r="O98" s="214"/>
    </row>
    <row r="99" spans="1:15" ht="16" customHeight="1" x14ac:dyDescent="0.15">
      <c r="A99" s="346"/>
      <c r="B99" s="44" t="s">
        <v>226</v>
      </c>
      <c r="C99" s="12"/>
      <c r="D99" s="12"/>
      <c r="E99" s="12"/>
      <c r="F99" s="12"/>
      <c r="G99" s="12"/>
      <c r="H99" s="454">
        <v>0.04</v>
      </c>
      <c r="I99" s="214">
        <f>H99*(5*('Proforma 2'!E51+'Proforma 2'!E52+'Proforma 2'!E53+'Proforma 2'!E56))*0.8</f>
        <v>149760</v>
      </c>
      <c r="J99" s="3"/>
      <c r="K99" s="305"/>
      <c r="L99" s="2"/>
      <c r="M99" s="3"/>
      <c r="N99" s="3"/>
      <c r="O99" s="214"/>
    </row>
    <row r="100" spans="1:15" ht="16" customHeight="1" x14ac:dyDescent="0.15">
      <c r="A100" s="346"/>
      <c r="B100" s="44" t="s">
        <v>227</v>
      </c>
      <c r="C100" s="12"/>
      <c r="D100" s="12"/>
      <c r="E100" s="12"/>
      <c r="F100" s="12"/>
      <c r="G100" s="12"/>
      <c r="H100" s="12"/>
      <c r="I100" s="3"/>
      <c r="J100" s="3"/>
      <c r="K100" s="305"/>
      <c r="L100" s="2"/>
      <c r="M100" s="3"/>
      <c r="N100" s="3"/>
      <c r="O100" s="214"/>
    </row>
    <row r="101" spans="1:15" ht="16.5" customHeight="1" x14ac:dyDescent="0.15">
      <c r="A101" s="346"/>
      <c r="B101" s="12"/>
      <c r="C101" s="12"/>
      <c r="D101" s="12"/>
      <c r="E101" s="12"/>
      <c r="F101" s="12"/>
      <c r="G101" s="12"/>
      <c r="H101" s="12"/>
      <c r="I101" s="3"/>
      <c r="J101" s="3"/>
      <c r="K101" s="340"/>
      <c r="L101" s="2"/>
      <c r="M101" s="3"/>
      <c r="N101" s="3"/>
      <c r="O101" s="214"/>
    </row>
    <row r="102" spans="1:15" ht="17" customHeight="1" x14ac:dyDescent="0.15">
      <c r="A102" s="375"/>
      <c r="B102" s="373" t="s">
        <v>148</v>
      </c>
      <c r="C102" s="250"/>
      <c r="D102" s="250"/>
      <c r="E102" s="250"/>
      <c r="F102" s="250"/>
      <c r="G102" s="250"/>
      <c r="H102" s="250"/>
      <c r="I102" s="161"/>
      <c r="J102" s="340"/>
      <c r="K102" s="310">
        <f>SUM(I94:I100)</f>
        <v>149760</v>
      </c>
      <c r="L102" s="2"/>
      <c r="M102" s="3"/>
      <c r="N102" s="3"/>
      <c r="O102" s="3"/>
    </row>
    <row r="103" spans="1:15" ht="16.5" customHeight="1" x14ac:dyDescent="0.15">
      <c r="A103" s="376"/>
      <c r="B103" s="184"/>
      <c r="C103" s="184"/>
      <c r="D103" s="184"/>
      <c r="E103" s="184"/>
      <c r="F103" s="184"/>
      <c r="G103" s="184"/>
      <c r="H103" s="184"/>
      <c r="I103" s="7"/>
      <c r="J103" s="7"/>
      <c r="K103" s="316"/>
      <c r="L103" s="2"/>
      <c r="M103" s="3"/>
      <c r="N103" s="3"/>
      <c r="O103" s="3"/>
    </row>
    <row r="104" spans="1:15" ht="16" customHeight="1" x14ac:dyDescent="0.15">
      <c r="A104" s="377" t="s">
        <v>228</v>
      </c>
      <c r="B104" s="291"/>
      <c r="C104" s="314"/>
      <c r="D104" s="314"/>
      <c r="E104" s="314"/>
      <c r="F104" s="314"/>
      <c r="G104" s="314"/>
      <c r="H104" s="314"/>
      <c r="I104" s="315">
        <f>K104/(K4+K19)</f>
        <v>0.29440733833360661</v>
      </c>
      <c r="J104" s="378"/>
      <c r="K104" s="379">
        <f>SUM(K31:K102)</f>
        <v>2887752.5748446183</v>
      </c>
      <c r="L104" s="2"/>
      <c r="M104" s="3"/>
      <c r="N104" s="3"/>
      <c r="O104" s="3"/>
    </row>
    <row r="105" spans="1:15" ht="16" customHeight="1" x14ac:dyDescent="0.15">
      <c r="A105" s="370"/>
      <c r="B105" s="14"/>
      <c r="C105" s="14"/>
      <c r="D105" s="14"/>
      <c r="E105" s="14"/>
      <c r="F105" s="14"/>
      <c r="G105" s="14"/>
      <c r="H105" s="14"/>
      <c r="I105" s="289"/>
      <c r="J105" s="289"/>
      <c r="K105" s="320"/>
      <c r="L105" s="2"/>
      <c r="M105" s="3"/>
      <c r="N105" s="3"/>
      <c r="O105" s="3"/>
    </row>
    <row r="106" spans="1:15" ht="17" customHeight="1" x14ac:dyDescent="0.15">
      <c r="A106" s="380"/>
      <c r="B106" s="381"/>
      <c r="C106" s="381"/>
      <c r="D106" s="381"/>
      <c r="E106" s="381"/>
      <c r="F106" s="381"/>
      <c r="G106" s="381"/>
      <c r="H106" s="381"/>
      <c r="I106" s="382"/>
      <c r="J106" s="382"/>
      <c r="K106" s="383"/>
      <c r="L106" s="2"/>
      <c r="M106" s="3"/>
      <c r="N106" s="3"/>
      <c r="O106" s="3"/>
    </row>
    <row r="107" spans="1:15" ht="19" customHeight="1" x14ac:dyDescent="0.15">
      <c r="A107" s="384" t="s">
        <v>59</v>
      </c>
      <c r="B107" s="385"/>
      <c r="C107" s="386"/>
      <c r="D107" s="387"/>
      <c r="E107" s="387"/>
      <c r="F107" s="387"/>
      <c r="G107" s="387"/>
      <c r="H107" s="387"/>
      <c r="I107" s="388"/>
      <c r="J107" s="389"/>
      <c r="K107" s="390">
        <f>SUM(K4:K102)</f>
        <v>12696450.249263223</v>
      </c>
      <c r="L107" s="391"/>
      <c r="M107" s="3"/>
      <c r="N107" s="3"/>
      <c r="O107" s="3"/>
    </row>
  </sheetData>
  <mergeCells count="2">
    <mergeCell ref="A3:K3"/>
    <mergeCell ref="A1:K1"/>
  </mergeCells>
  <hyperlinks>
    <hyperlink ref="A64" r:id="rId1"/>
    <hyperlink ref="A66" r:id="rId2"/>
  </hyperlinks>
  <pageMargins left="0.75" right="0.75" top="1" bottom="1" header="0.5" footer="0.5"/>
  <pageSetup paperSize="17" scale="47" orientation="portrait" r:id="rId3"/>
  <headerFooter>
    <oddFooter>&amp;L&amp;"Helvetica,Regular"&amp;12&amp;K000000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7"/>
  <sheetViews>
    <sheetView showGridLines="0" workbookViewId="0"/>
  </sheetViews>
  <sheetFormatPr baseColWidth="10" defaultColWidth="6.625" defaultRowHeight="12.75" customHeight="1" x14ac:dyDescent="0.15"/>
  <cols>
    <col min="1" max="1" width="3.5" style="392" customWidth="1"/>
    <col min="2" max="2" width="10" style="392" customWidth="1"/>
    <col min="3" max="3" width="11.625" style="392" customWidth="1"/>
    <col min="4" max="4" width="10.5" style="392" customWidth="1"/>
    <col min="5" max="5" width="9.125" style="392" customWidth="1"/>
    <col min="6" max="6" width="10.875" style="392" customWidth="1"/>
    <col min="7" max="8" width="10.625" style="392" customWidth="1"/>
    <col min="9" max="9" width="10.125" style="392" customWidth="1"/>
    <col min="10" max="10" width="9.75" style="392" customWidth="1"/>
    <col min="11" max="256" width="6.625" customWidth="1"/>
  </cols>
  <sheetData>
    <row r="1" spans="1:10" ht="24" customHeight="1" x14ac:dyDescent="0.25">
      <c r="A1" s="470" t="s">
        <v>229</v>
      </c>
      <c r="B1" s="471"/>
      <c r="C1" s="471"/>
      <c r="D1" s="472"/>
      <c r="E1" s="393"/>
      <c r="F1" s="393"/>
      <c r="G1" s="393"/>
      <c r="H1" s="393"/>
      <c r="I1" s="393"/>
      <c r="J1" s="393"/>
    </row>
    <row r="2" spans="1:10" ht="8" customHeight="1" x14ac:dyDescent="0.15">
      <c r="A2" s="394"/>
      <c r="B2" s="395"/>
      <c r="C2" s="395"/>
      <c r="D2" s="395"/>
      <c r="E2" s="395"/>
      <c r="F2" s="395"/>
      <c r="G2" s="395"/>
      <c r="H2" s="395"/>
      <c r="I2" s="395"/>
      <c r="J2" s="395"/>
    </row>
    <row r="3" spans="1:10" ht="20.25" customHeight="1" x14ac:dyDescent="0.15">
      <c r="A3" s="396"/>
      <c r="B3" s="397"/>
      <c r="C3" s="397"/>
      <c r="D3" s="397"/>
      <c r="E3" s="398"/>
      <c r="F3" s="397"/>
      <c r="G3" s="397"/>
      <c r="H3" s="397"/>
      <c r="I3" s="398"/>
      <c r="J3" s="398"/>
    </row>
    <row r="4" spans="1:10" ht="14.25" customHeight="1" x14ac:dyDescent="0.15">
      <c r="A4" s="399"/>
      <c r="B4" s="467" t="s">
        <v>230</v>
      </c>
      <c r="C4" s="468"/>
      <c r="D4" s="469"/>
      <c r="E4" s="400"/>
      <c r="F4" s="467" t="s">
        <v>231</v>
      </c>
      <c r="G4" s="468"/>
      <c r="H4" s="469"/>
      <c r="I4" s="401"/>
      <c r="J4" s="393"/>
    </row>
    <row r="5" spans="1:10" ht="17" customHeight="1" x14ac:dyDescent="0.15">
      <c r="A5" s="399"/>
      <c r="B5" s="402"/>
      <c r="C5" s="403" t="s">
        <v>232</v>
      </c>
      <c r="D5" s="404">
        <f>'Proforma 2'!H30</f>
        <v>9485656.4201739132</v>
      </c>
      <c r="E5" s="400"/>
      <c r="F5" s="402"/>
      <c r="G5" s="403" t="s">
        <v>233</v>
      </c>
      <c r="H5" s="405">
        <v>63364.835008488124</v>
      </c>
      <c r="I5" s="406"/>
      <c r="J5" s="393"/>
    </row>
    <row r="6" spans="1:10" ht="17" customHeight="1" x14ac:dyDescent="0.15">
      <c r="A6" s="399"/>
      <c r="B6" s="407"/>
      <c r="C6" s="408" t="s">
        <v>234</v>
      </c>
      <c r="D6" s="409">
        <f>'Proforma 2'!H22</f>
        <v>0.05</v>
      </c>
      <c r="E6" s="400"/>
      <c r="F6" s="407"/>
      <c r="G6" s="408" t="s">
        <v>235</v>
      </c>
      <c r="H6" s="410">
        <v>300</v>
      </c>
      <c r="I6" s="411"/>
      <c r="J6" s="393"/>
    </row>
    <row r="7" spans="1:10" ht="17" customHeight="1" x14ac:dyDescent="0.15">
      <c r="A7" s="399"/>
      <c r="B7" s="407"/>
      <c r="C7" s="408" t="s">
        <v>236</v>
      </c>
      <c r="D7" s="410">
        <f>'Proforma 2'!H23</f>
        <v>25</v>
      </c>
      <c r="E7" s="400"/>
      <c r="F7" s="407"/>
      <c r="G7" s="408" t="s">
        <v>237</v>
      </c>
      <c r="H7" s="410">
        <v>300</v>
      </c>
      <c r="I7" s="411"/>
      <c r="J7" s="393"/>
    </row>
    <row r="8" spans="1:10" ht="17" customHeight="1" x14ac:dyDescent="0.15">
      <c r="A8" s="399"/>
      <c r="B8" s="407"/>
      <c r="C8" s="408" t="s">
        <v>238</v>
      </c>
      <c r="D8" s="410">
        <v>12</v>
      </c>
      <c r="E8" s="400"/>
      <c r="F8" s="407"/>
      <c r="G8" s="408" t="s">
        <v>239</v>
      </c>
      <c r="H8" s="405">
        <v>0</v>
      </c>
      <c r="I8" s="406"/>
      <c r="J8" s="393"/>
    </row>
    <row r="9" spans="1:10" ht="17" customHeight="1" x14ac:dyDescent="0.15">
      <c r="A9" s="399"/>
      <c r="B9" s="407"/>
      <c r="C9" s="408" t="s">
        <v>240</v>
      </c>
      <c r="D9" s="412">
        <v>42370</v>
      </c>
      <c r="E9" s="400"/>
      <c r="F9" s="413"/>
      <c r="G9" s="414" t="s">
        <v>241</v>
      </c>
      <c r="H9" s="405">
        <v>9174793.172545854</v>
      </c>
      <c r="I9" s="406"/>
      <c r="J9" s="393"/>
    </row>
    <row r="10" spans="1:10" ht="17" customHeight="1" x14ac:dyDescent="0.15">
      <c r="A10" s="399"/>
      <c r="B10" s="413"/>
      <c r="C10" s="414" t="s">
        <v>242</v>
      </c>
      <c r="D10" s="405">
        <v>0</v>
      </c>
      <c r="E10" s="415"/>
      <c r="F10" s="398"/>
      <c r="G10" s="398"/>
      <c r="H10" s="398"/>
      <c r="I10" s="416"/>
      <c r="J10" s="393"/>
    </row>
    <row r="11" spans="1:10" ht="17" customHeight="1" x14ac:dyDescent="0.15">
      <c r="A11" s="393"/>
      <c r="B11" s="398"/>
      <c r="C11" s="397"/>
      <c r="D11" s="397"/>
      <c r="E11" s="416"/>
      <c r="F11" s="416"/>
      <c r="G11" s="416"/>
      <c r="H11" s="416"/>
      <c r="I11" s="416"/>
      <c r="J11" s="416"/>
    </row>
    <row r="12" spans="1:10" ht="17" customHeight="1" x14ac:dyDescent="0.15">
      <c r="A12" s="393"/>
      <c r="B12" s="417" t="s">
        <v>243</v>
      </c>
      <c r="C12" s="465"/>
      <c r="D12" s="466"/>
      <c r="E12" s="418"/>
      <c r="F12" s="416"/>
      <c r="G12" s="416"/>
      <c r="H12" s="416"/>
      <c r="I12" s="416"/>
      <c r="J12" s="416"/>
    </row>
    <row r="13" spans="1:10" ht="16.5" customHeight="1" x14ac:dyDescent="0.15">
      <c r="A13" s="393"/>
      <c r="B13" s="419"/>
      <c r="C13" s="396"/>
      <c r="D13" s="396"/>
      <c r="E13" s="416"/>
      <c r="F13" s="416"/>
      <c r="G13" s="416"/>
      <c r="H13" s="416"/>
      <c r="I13" s="416"/>
      <c r="J13" s="416"/>
    </row>
    <row r="14" spans="1:10" ht="8" customHeight="1" x14ac:dyDescent="0.15">
      <c r="A14" s="394"/>
      <c r="B14" s="395"/>
      <c r="C14" s="395"/>
      <c r="D14" s="395"/>
      <c r="E14" s="395"/>
      <c r="F14" s="395"/>
      <c r="G14" s="395"/>
      <c r="H14" s="395"/>
      <c r="I14" s="395"/>
      <c r="J14" s="395"/>
    </row>
    <row r="15" spans="1:10" ht="8" customHeight="1" x14ac:dyDescent="0.15">
      <c r="A15" s="396"/>
      <c r="B15" s="398"/>
      <c r="C15" s="398"/>
      <c r="D15" s="398"/>
      <c r="E15" s="398"/>
      <c r="F15" s="398"/>
      <c r="G15" s="398"/>
      <c r="H15" s="398"/>
      <c r="I15" s="398"/>
      <c r="J15" s="398"/>
    </row>
    <row r="16" spans="1:10" ht="28.5" customHeight="1" x14ac:dyDescent="0.15">
      <c r="A16" s="420" t="s">
        <v>244</v>
      </c>
      <c r="B16" s="421" t="s">
        <v>245</v>
      </c>
      <c r="C16" s="421" t="s">
        <v>246</v>
      </c>
      <c r="D16" s="421" t="s">
        <v>247</v>
      </c>
      <c r="E16" s="421" t="s">
        <v>248</v>
      </c>
      <c r="F16" s="421" t="s">
        <v>249</v>
      </c>
      <c r="G16" s="421" t="s">
        <v>250</v>
      </c>
      <c r="H16" s="421" t="s">
        <v>251</v>
      </c>
      <c r="I16" s="421" t="s">
        <v>252</v>
      </c>
      <c r="J16" s="421" t="s">
        <v>253</v>
      </c>
    </row>
    <row r="17" spans="1:10" ht="8" customHeight="1" x14ac:dyDescent="0.15">
      <c r="A17" s="422"/>
      <c r="B17" s="423"/>
      <c r="C17" s="423"/>
      <c r="D17" s="423"/>
      <c r="E17" s="423"/>
      <c r="F17" s="423"/>
      <c r="G17" s="423"/>
      <c r="H17" s="423"/>
      <c r="I17" s="423"/>
      <c r="J17" s="423"/>
    </row>
    <row r="18" spans="1:10" ht="15.5" customHeight="1" x14ac:dyDescent="0.15">
      <c r="A18" s="424">
        <v>1</v>
      </c>
      <c r="B18" s="425">
        <f t="shared" ref="B18:B272" si="0">IF($A$18:$A$377&lt;&gt;"",DATE(YEAR($D$9),MONTH($D$9)+($A$18:$A$377)*12/$D$8,DAY($D$9)),"")</f>
        <v>42401</v>
      </c>
      <c r="C18" s="426">
        <v>9834657.3300000001</v>
      </c>
      <c r="D18" s="426">
        <f t="shared" ref="D18:D272" si="1">IF($A$18:$A$377&lt;&gt;"",$H$5,"")</f>
        <v>63364.835008488124</v>
      </c>
      <c r="E18" s="426">
        <f t="shared" ref="E18:E272" si="2">IF(AND($A$18:$A$377&lt;&gt;"",$D$18:$D$377+$D$10&lt;$C$18:$C$377),$D$10,IF(AND($A$18:$A$377&lt;&gt;"",$C$18:$C$377-$D$18:$D$377&gt;0),$C$18:$C$377-$D$18:$D$377,IF($A$18:$A$377&lt;&gt;"",0,"")))</f>
        <v>0</v>
      </c>
      <c r="F18" s="426">
        <f t="shared" ref="F18:F272" si="3">IF(AND($A$18:$A$377&lt;&gt;"",$D$18:$D$377+$E$18:$E$377&lt;$C$18:$C$377),$D$18:$D$377+$E$18:$E$377,IF($A$18:$A$377&lt;&gt;"",$C$18:$C$377,""))</f>
        <v>63364.835008488124</v>
      </c>
      <c r="G18" s="426">
        <f t="shared" ref="G18:G272" si="4">IF($A$18:$A$377&lt;&gt;"",$F$18:$F$377-$H$18:$H$377,"")</f>
        <v>22387.096133488121</v>
      </c>
      <c r="H18" s="426">
        <f>IF($A$18:$A$377&lt;&gt;"",$C$18:$C$377*($D$6/$D$8),"")</f>
        <v>40977.738875000003</v>
      </c>
      <c r="I18" s="426">
        <f t="shared" ref="I18:I272" si="5">IF(AND($A$18:$A$377&lt;&gt;"",$D$18:$D$377+$E$18:$E$377&lt;$C$18:$C$377),$C$18:$C$377-$G$18:$G$377,IF($A$18:$A$377&lt;&gt;"",0,""))</f>
        <v>9812270.2338665128</v>
      </c>
      <c r="J18" s="426">
        <f>SUM($H$18:$H18)</f>
        <v>40977.738875000003</v>
      </c>
    </row>
    <row r="19" spans="1:10" ht="12.75" customHeight="1" x14ac:dyDescent="0.15">
      <c r="A19" s="427">
        <v>2</v>
      </c>
      <c r="B19" s="428">
        <f t="shared" si="0"/>
        <v>42430</v>
      </c>
      <c r="C19" s="429">
        <f t="shared" ref="C19:C82" si="6">IF($A$18:$A$377&lt;&gt;"",I18,"")</f>
        <v>9812270.2338665128</v>
      </c>
      <c r="D19" s="429">
        <f t="shared" si="1"/>
        <v>63364.835008488124</v>
      </c>
      <c r="E19" s="430">
        <f t="shared" si="2"/>
        <v>0</v>
      </c>
      <c r="F19" s="429">
        <f t="shared" si="3"/>
        <v>63364.835008488124</v>
      </c>
      <c r="G19" s="429">
        <f t="shared" si="4"/>
        <v>22480.375700710989</v>
      </c>
      <c r="H19" s="429">
        <f t="shared" ref="H19:H273" si="7">IF($A$18:$A$377&lt;&gt;"",$C$18:$C$377*$D$6/$D$8,"")</f>
        <v>40884.459307777135</v>
      </c>
      <c r="I19" s="429">
        <f t="shared" si="5"/>
        <v>9789789.8581658024</v>
      </c>
      <c r="J19" s="429">
        <f>SUM($H$18:$H19)</f>
        <v>81862.198182777138</v>
      </c>
    </row>
    <row r="20" spans="1:10" ht="12.75" customHeight="1" x14ac:dyDescent="0.15">
      <c r="A20" s="427">
        <v>3</v>
      </c>
      <c r="B20" s="428">
        <f t="shared" si="0"/>
        <v>42461</v>
      </c>
      <c r="C20" s="429">
        <f t="shared" si="6"/>
        <v>9789789.8581658024</v>
      </c>
      <c r="D20" s="429">
        <f t="shared" si="1"/>
        <v>63364.835008488124</v>
      </c>
      <c r="E20" s="430">
        <f t="shared" si="2"/>
        <v>0</v>
      </c>
      <c r="F20" s="429">
        <f t="shared" si="3"/>
        <v>63364.835008488124</v>
      </c>
      <c r="G20" s="429">
        <f t="shared" si="4"/>
        <v>22574.043932797278</v>
      </c>
      <c r="H20" s="429">
        <f t="shared" si="7"/>
        <v>40790.791075690846</v>
      </c>
      <c r="I20" s="429">
        <f t="shared" si="5"/>
        <v>9767215.814233005</v>
      </c>
      <c r="J20" s="429">
        <f>SUM($H$18:$H20)</f>
        <v>122652.98925846798</v>
      </c>
    </row>
    <row r="21" spans="1:10" ht="15" customHeight="1" x14ac:dyDescent="0.15">
      <c r="A21" s="427">
        <v>4</v>
      </c>
      <c r="B21" s="428">
        <f t="shared" si="0"/>
        <v>42491</v>
      </c>
      <c r="C21" s="429">
        <f t="shared" si="6"/>
        <v>9767215.814233005</v>
      </c>
      <c r="D21" s="429">
        <f t="shared" si="1"/>
        <v>63364.835008488124</v>
      </c>
      <c r="E21" s="430">
        <f t="shared" si="2"/>
        <v>0</v>
      </c>
      <c r="F21" s="429">
        <f t="shared" si="3"/>
        <v>63364.835008488124</v>
      </c>
      <c r="G21" s="429">
        <f t="shared" si="4"/>
        <v>22668.102449183934</v>
      </c>
      <c r="H21" s="429">
        <f t="shared" si="7"/>
        <v>40696.73255930419</v>
      </c>
      <c r="I21" s="429">
        <f t="shared" si="5"/>
        <v>9744547.7117838208</v>
      </c>
      <c r="J21" s="429">
        <f>SUM($H$18:$H21)</f>
        <v>163349.72181777217</v>
      </c>
    </row>
    <row r="22" spans="1:10" ht="15" customHeight="1" x14ac:dyDescent="0.15">
      <c r="A22" s="427">
        <v>5</v>
      </c>
      <c r="B22" s="428">
        <f t="shared" si="0"/>
        <v>42522</v>
      </c>
      <c r="C22" s="429">
        <f t="shared" si="6"/>
        <v>9744547.7117838208</v>
      </c>
      <c r="D22" s="429">
        <f t="shared" si="1"/>
        <v>63364.835008488124</v>
      </c>
      <c r="E22" s="430">
        <f t="shared" si="2"/>
        <v>0</v>
      </c>
      <c r="F22" s="429">
        <f t="shared" si="3"/>
        <v>63364.835008488124</v>
      </c>
      <c r="G22" s="429">
        <f t="shared" si="4"/>
        <v>22762.552876055539</v>
      </c>
      <c r="H22" s="429">
        <f t="shared" si="7"/>
        <v>40602.282132432585</v>
      </c>
      <c r="I22" s="429">
        <f t="shared" si="5"/>
        <v>9721785.1589077655</v>
      </c>
      <c r="J22" s="429">
        <f>SUM($H$18:$H22)</f>
        <v>203952.00395020476</v>
      </c>
    </row>
    <row r="23" spans="1:10" ht="15" customHeight="1" x14ac:dyDescent="0.15">
      <c r="A23" s="427">
        <v>6</v>
      </c>
      <c r="B23" s="428">
        <f t="shared" si="0"/>
        <v>42552</v>
      </c>
      <c r="C23" s="429">
        <f t="shared" si="6"/>
        <v>9721785.1589077655</v>
      </c>
      <c r="D23" s="429">
        <f t="shared" si="1"/>
        <v>63364.835008488124</v>
      </c>
      <c r="E23" s="430">
        <f t="shared" si="2"/>
        <v>0</v>
      </c>
      <c r="F23" s="429">
        <f t="shared" si="3"/>
        <v>63364.835008488124</v>
      </c>
      <c r="G23" s="429">
        <f t="shared" si="4"/>
        <v>22857.39684637243</v>
      </c>
      <c r="H23" s="429">
        <f t="shared" si="7"/>
        <v>40507.438162115694</v>
      </c>
      <c r="I23" s="429">
        <f t="shared" si="5"/>
        <v>9698927.7620613929</v>
      </c>
      <c r="J23" s="429">
        <f>SUM($H$18:$H23)</f>
        <v>244459.44211232045</v>
      </c>
    </row>
    <row r="24" spans="1:10" ht="15" customHeight="1" x14ac:dyDescent="0.15">
      <c r="A24" s="427">
        <v>7</v>
      </c>
      <c r="B24" s="428">
        <f t="shared" si="0"/>
        <v>42583</v>
      </c>
      <c r="C24" s="429">
        <f t="shared" si="6"/>
        <v>9698927.7620613929</v>
      </c>
      <c r="D24" s="429">
        <f t="shared" si="1"/>
        <v>63364.835008488124</v>
      </c>
      <c r="E24" s="430">
        <f t="shared" si="2"/>
        <v>0</v>
      </c>
      <c r="F24" s="429">
        <f t="shared" si="3"/>
        <v>63364.835008488124</v>
      </c>
      <c r="G24" s="429">
        <f t="shared" si="4"/>
        <v>22952.635999898986</v>
      </c>
      <c r="H24" s="429">
        <f t="shared" si="7"/>
        <v>40412.199008589138</v>
      </c>
      <c r="I24" s="429">
        <f t="shared" si="5"/>
        <v>9675975.1260614935</v>
      </c>
      <c r="J24" s="429">
        <f>SUM($H$18:$H24)</f>
        <v>284871.6411209096</v>
      </c>
    </row>
    <row r="25" spans="1:10" ht="15" customHeight="1" x14ac:dyDescent="0.15">
      <c r="A25" s="427">
        <v>8</v>
      </c>
      <c r="B25" s="428">
        <f t="shared" si="0"/>
        <v>42614</v>
      </c>
      <c r="C25" s="429">
        <f t="shared" si="6"/>
        <v>9675975.1260614935</v>
      </c>
      <c r="D25" s="429">
        <f t="shared" si="1"/>
        <v>63364.835008488124</v>
      </c>
      <c r="E25" s="430">
        <f t="shared" si="2"/>
        <v>0</v>
      </c>
      <c r="F25" s="429">
        <f t="shared" si="3"/>
        <v>63364.835008488124</v>
      </c>
      <c r="G25" s="429">
        <f t="shared" si="4"/>
        <v>23048.271983231898</v>
      </c>
      <c r="H25" s="429">
        <f t="shared" si="7"/>
        <v>40316.563025256226</v>
      </c>
      <c r="I25" s="429">
        <f t="shared" si="5"/>
        <v>9652926.8540782612</v>
      </c>
      <c r="J25" s="429">
        <f>SUM($H$18:$H25)</f>
        <v>325188.20414616581</v>
      </c>
    </row>
    <row r="26" spans="1:10" ht="15" customHeight="1" x14ac:dyDescent="0.15">
      <c r="A26" s="427">
        <v>9</v>
      </c>
      <c r="B26" s="428">
        <f t="shared" si="0"/>
        <v>42644</v>
      </c>
      <c r="C26" s="429">
        <f t="shared" si="6"/>
        <v>9652926.8540782612</v>
      </c>
      <c r="D26" s="429">
        <f t="shared" si="1"/>
        <v>63364.835008488124</v>
      </c>
      <c r="E26" s="430">
        <f t="shared" si="2"/>
        <v>0</v>
      </c>
      <c r="F26" s="429">
        <f t="shared" si="3"/>
        <v>63364.835008488124</v>
      </c>
      <c r="G26" s="429">
        <f t="shared" si="4"/>
        <v>23144.306449828699</v>
      </c>
      <c r="H26" s="429">
        <f t="shared" si="7"/>
        <v>40220.528558659425</v>
      </c>
      <c r="I26" s="429">
        <f t="shared" si="5"/>
        <v>9629782.5476284325</v>
      </c>
      <c r="J26" s="429">
        <f>SUM($H$18:$H26)</f>
        <v>365408.73270482523</v>
      </c>
    </row>
    <row r="27" spans="1:10" ht="15" customHeight="1" x14ac:dyDescent="0.15">
      <c r="A27" s="427">
        <v>10</v>
      </c>
      <c r="B27" s="428">
        <f t="shared" si="0"/>
        <v>42675</v>
      </c>
      <c r="C27" s="429">
        <f t="shared" si="6"/>
        <v>9629782.5476284325</v>
      </c>
      <c r="D27" s="429">
        <f t="shared" si="1"/>
        <v>63364.835008488124</v>
      </c>
      <c r="E27" s="430">
        <f t="shared" si="2"/>
        <v>0</v>
      </c>
      <c r="F27" s="429">
        <f t="shared" si="3"/>
        <v>63364.835008488124</v>
      </c>
      <c r="G27" s="429">
        <f t="shared" si="4"/>
        <v>23240.741060036322</v>
      </c>
      <c r="H27" s="429">
        <f t="shared" si="7"/>
        <v>40124.093948451802</v>
      </c>
      <c r="I27" s="429">
        <f t="shared" si="5"/>
        <v>9606541.8065683953</v>
      </c>
      <c r="J27" s="429">
        <f>SUM($H$18:$H27)</f>
        <v>405532.82665327704</v>
      </c>
    </row>
    <row r="28" spans="1:10" ht="15" customHeight="1" x14ac:dyDescent="0.15">
      <c r="A28" s="427">
        <v>11</v>
      </c>
      <c r="B28" s="428">
        <f t="shared" si="0"/>
        <v>42705</v>
      </c>
      <c r="C28" s="429">
        <f t="shared" si="6"/>
        <v>9606541.8065683953</v>
      </c>
      <c r="D28" s="429">
        <f t="shared" si="1"/>
        <v>63364.835008488124</v>
      </c>
      <c r="E28" s="430">
        <f t="shared" si="2"/>
        <v>0</v>
      </c>
      <c r="F28" s="429">
        <f t="shared" si="3"/>
        <v>63364.835008488124</v>
      </c>
      <c r="G28" s="429">
        <f t="shared" si="4"/>
        <v>23337.577481119806</v>
      </c>
      <c r="H28" s="429">
        <f t="shared" si="7"/>
        <v>40027.257527368318</v>
      </c>
      <c r="I28" s="429">
        <f t="shared" si="5"/>
        <v>9583204.2290872764</v>
      </c>
      <c r="J28" s="429">
        <f>SUM($H$18:$H28)</f>
        <v>445560.08418064535</v>
      </c>
    </row>
    <row r="29" spans="1:10" ht="15" customHeight="1" x14ac:dyDescent="0.15">
      <c r="A29" s="427">
        <v>12</v>
      </c>
      <c r="B29" s="428">
        <f t="shared" si="0"/>
        <v>42736</v>
      </c>
      <c r="C29" s="429">
        <f t="shared" si="6"/>
        <v>9583204.2290872764</v>
      </c>
      <c r="D29" s="429">
        <f t="shared" si="1"/>
        <v>63364.835008488124</v>
      </c>
      <c r="E29" s="430">
        <f t="shared" si="2"/>
        <v>0</v>
      </c>
      <c r="F29" s="429">
        <f t="shared" si="3"/>
        <v>63364.835008488124</v>
      </c>
      <c r="G29" s="429">
        <f t="shared" si="4"/>
        <v>23434.817387291136</v>
      </c>
      <c r="H29" s="429">
        <f t="shared" si="7"/>
        <v>39930.017621196988</v>
      </c>
      <c r="I29" s="429">
        <f t="shared" si="5"/>
        <v>9559769.4116999861</v>
      </c>
      <c r="J29" s="429">
        <f>SUM($H$18:$H29)</f>
        <v>485490.10180184233</v>
      </c>
    </row>
    <row r="30" spans="1:10" ht="15" customHeight="1" x14ac:dyDescent="0.15">
      <c r="A30" s="427">
        <v>13</v>
      </c>
      <c r="B30" s="428">
        <f t="shared" si="0"/>
        <v>42767</v>
      </c>
      <c r="C30" s="429">
        <f t="shared" si="6"/>
        <v>9559769.4116999861</v>
      </c>
      <c r="D30" s="429">
        <f t="shared" si="1"/>
        <v>63364.835008488124</v>
      </c>
      <c r="E30" s="430">
        <f t="shared" si="2"/>
        <v>0</v>
      </c>
      <c r="F30" s="429">
        <f t="shared" si="3"/>
        <v>63364.835008488124</v>
      </c>
      <c r="G30" s="429">
        <f t="shared" si="4"/>
        <v>23532.462459738184</v>
      </c>
      <c r="H30" s="429">
        <f t="shared" si="7"/>
        <v>39832.37254874994</v>
      </c>
      <c r="I30" s="429">
        <f t="shared" si="5"/>
        <v>9536236.9492402487</v>
      </c>
      <c r="J30" s="429">
        <f>SUM($H$18:$H30)</f>
        <v>525322.47435059224</v>
      </c>
    </row>
    <row r="31" spans="1:10" ht="15" customHeight="1" x14ac:dyDescent="0.15">
      <c r="A31" s="427">
        <v>14</v>
      </c>
      <c r="B31" s="428">
        <f t="shared" si="0"/>
        <v>42795</v>
      </c>
      <c r="C31" s="429">
        <f t="shared" si="6"/>
        <v>9536236.9492402487</v>
      </c>
      <c r="D31" s="429">
        <f t="shared" si="1"/>
        <v>63364.835008488124</v>
      </c>
      <c r="E31" s="430">
        <f t="shared" si="2"/>
        <v>0</v>
      </c>
      <c r="F31" s="429">
        <f t="shared" si="3"/>
        <v>63364.835008488124</v>
      </c>
      <c r="G31" s="429">
        <f t="shared" si="4"/>
        <v>23630.514386653755</v>
      </c>
      <c r="H31" s="429">
        <f t="shared" si="7"/>
        <v>39734.320621834369</v>
      </c>
      <c r="I31" s="429">
        <f t="shared" si="5"/>
        <v>9512606.4348535948</v>
      </c>
      <c r="J31" s="429">
        <f>SUM($H$18:$H31)</f>
        <v>565056.79497242661</v>
      </c>
    </row>
    <row r="32" spans="1:10" ht="15" customHeight="1" x14ac:dyDescent="0.15">
      <c r="A32" s="427">
        <v>15</v>
      </c>
      <c r="B32" s="428">
        <f t="shared" si="0"/>
        <v>42826</v>
      </c>
      <c r="C32" s="429">
        <f t="shared" si="6"/>
        <v>9512606.4348535948</v>
      </c>
      <c r="D32" s="429">
        <f t="shared" si="1"/>
        <v>63364.835008488124</v>
      </c>
      <c r="E32" s="430">
        <f t="shared" si="2"/>
        <v>0</v>
      </c>
      <c r="F32" s="429">
        <f t="shared" si="3"/>
        <v>63364.835008488124</v>
      </c>
      <c r="G32" s="429">
        <f t="shared" si="4"/>
        <v>23728.974863264812</v>
      </c>
      <c r="H32" s="429">
        <f t="shared" si="7"/>
        <v>39635.860145223312</v>
      </c>
      <c r="I32" s="429">
        <f t="shared" si="5"/>
        <v>9488877.45999033</v>
      </c>
      <c r="J32" s="429">
        <f>SUM($H$18:$H32)</f>
        <v>604692.65511764993</v>
      </c>
    </row>
    <row r="33" spans="1:10" ht="15" customHeight="1" x14ac:dyDescent="0.15">
      <c r="A33" s="427">
        <v>16</v>
      </c>
      <c r="B33" s="428">
        <f t="shared" si="0"/>
        <v>42856</v>
      </c>
      <c r="C33" s="429">
        <f t="shared" si="6"/>
        <v>9488877.45999033</v>
      </c>
      <c r="D33" s="429">
        <f t="shared" si="1"/>
        <v>63364.835008488124</v>
      </c>
      <c r="E33" s="430">
        <f t="shared" si="2"/>
        <v>0</v>
      </c>
      <c r="F33" s="429">
        <f t="shared" si="3"/>
        <v>63364.835008488124</v>
      </c>
      <c r="G33" s="429">
        <f t="shared" si="4"/>
        <v>23827.845591861747</v>
      </c>
      <c r="H33" s="429">
        <f t="shared" si="7"/>
        <v>39536.989416626377</v>
      </c>
      <c r="I33" s="429">
        <f t="shared" si="5"/>
        <v>9465049.6143984683</v>
      </c>
      <c r="J33" s="429">
        <f>SUM($H$18:$H33)</f>
        <v>644229.64453427633</v>
      </c>
    </row>
    <row r="34" spans="1:10" ht="15" customHeight="1" x14ac:dyDescent="0.15">
      <c r="A34" s="427">
        <v>17</v>
      </c>
      <c r="B34" s="428">
        <f t="shared" si="0"/>
        <v>42887</v>
      </c>
      <c r="C34" s="429">
        <f t="shared" si="6"/>
        <v>9465049.6143984683</v>
      </c>
      <c r="D34" s="429">
        <f t="shared" si="1"/>
        <v>63364.835008488124</v>
      </c>
      <c r="E34" s="430">
        <f t="shared" si="2"/>
        <v>0</v>
      </c>
      <c r="F34" s="429">
        <f t="shared" si="3"/>
        <v>63364.835008488124</v>
      </c>
      <c r="G34" s="429">
        <f t="shared" si="4"/>
        <v>23927.128281827834</v>
      </c>
      <c r="H34" s="429">
        <f t="shared" si="7"/>
        <v>39437.70672666029</v>
      </c>
      <c r="I34" s="429">
        <f t="shared" si="5"/>
        <v>9441122.4861166403</v>
      </c>
      <c r="J34" s="429">
        <f>SUM($H$18:$H34)</f>
        <v>683667.35126093659</v>
      </c>
    </row>
    <row r="35" spans="1:10" ht="15" customHeight="1" x14ac:dyDescent="0.15">
      <c r="A35" s="427">
        <v>18</v>
      </c>
      <c r="B35" s="428">
        <f t="shared" si="0"/>
        <v>42917</v>
      </c>
      <c r="C35" s="429">
        <f t="shared" si="6"/>
        <v>9441122.4861166403</v>
      </c>
      <c r="D35" s="429">
        <f t="shared" si="1"/>
        <v>63364.835008488124</v>
      </c>
      <c r="E35" s="430">
        <f t="shared" si="2"/>
        <v>0</v>
      </c>
      <c r="F35" s="429">
        <f t="shared" si="3"/>
        <v>63364.835008488124</v>
      </c>
      <c r="G35" s="429">
        <f t="shared" si="4"/>
        <v>24026.824649668786</v>
      </c>
      <c r="H35" s="429">
        <f t="shared" si="7"/>
        <v>39338.010358819338</v>
      </c>
      <c r="I35" s="429">
        <f t="shared" si="5"/>
        <v>9417095.661466971</v>
      </c>
      <c r="J35" s="429">
        <f>SUM($H$18:$H35)</f>
        <v>723005.36161975597</v>
      </c>
    </row>
    <row r="36" spans="1:10" ht="15" customHeight="1" x14ac:dyDescent="0.15">
      <c r="A36" s="427">
        <v>19</v>
      </c>
      <c r="B36" s="428">
        <f t="shared" si="0"/>
        <v>42948</v>
      </c>
      <c r="C36" s="429">
        <f t="shared" si="6"/>
        <v>9417095.661466971</v>
      </c>
      <c r="D36" s="429">
        <f t="shared" si="1"/>
        <v>63364.835008488124</v>
      </c>
      <c r="E36" s="430">
        <f t="shared" si="2"/>
        <v>0</v>
      </c>
      <c r="F36" s="429">
        <f t="shared" si="3"/>
        <v>63364.835008488124</v>
      </c>
      <c r="G36" s="429">
        <f t="shared" si="4"/>
        <v>24126.936419042409</v>
      </c>
      <c r="H36" s="429">
        <f t="shared" si="7"/>
        <v>39237.898589445715</v>
      </c>
      <c r="I36" s="429">
        <f t="shared" si="5"/>
        <v>9392968.7250479292</v>
      </c>
      <c r="J36" s="429">
        <f>SUM($H$18:$H36)</f>
        <v>762243.26020920172</v>
      </c>
    </row>
    <row r="37" spans="1:10" ht="15" customHeight="1" x14ac:dyDescent="0.15">
      <c r="A37" s="427">
        <v>20</v>
      </c>
      <c r="B37" s="428">
        <f t="shared" si="0"/>
        <v>42979</v>
      </c>
      <c r="C37" s="429">
        <f t="shared" si="6"/>
        <v>9392968.7250479292</v>
      </c>
      <c r="D37" s="429">
        <f t="shared" si="1"/>
        <v>63364.835008488124</v>
      </c>
      <c r="E37" s="430">
        <f t="shared" si="2"/>
        <v>0</v>
      </c>
      <c r="F37" s="429">
        <f t="shared" si="3"/>
        <v>63364.835008488124</v>
      </c>
      <c r="G37" s="429">
        <f t="shared" si="4"/>
        <v>24227.465320788418</v>
      </c>
      <c r="H37" s="429">
        <f t="shared" si="7"/>
        <v>39137.369687699706</v>
      </c>
      <c r="I37" s="429">
        <f t="shared" si="5"/>
        <v>9368741.2597271409</v>
      </c>
      <c r="J37" s="429">
        <f>SUM($H$18:$H37)</f>
        <v>801380.62989690143</v>
      </c>
    </row>
    <row r="38" spans="1:10" ht="15" customHeight="1" x14ac:dyDescent="0.15">
      <c r="A38" s="427">
        <v>21</v>
      </c>
      <c r="B38" s="428">
        <f t="shared" si="0"/>
        <v>43009</v>
      </c>
      <c r="C38" s="429">
        <f t="shared" si="6"/>
        <v>9368741.2597271409</v>
      </c>
      <c r="D38" s="429">
        <f t="shared" si="1"/>
        <v>63364.835008488124</v>
      </c>
      <c r="E38" s="430">
        <f t="shared" si="2"/>
        <v>0</v>
      </c>
      <c r="F38" s="429">
        <f t="shared" si="3"/>
        <v>63364.835008488124</v>
      </c>
      <c r="G38" s="429">
        <f t="shared" si="4"/>
        <v>24328.41309295837</v>
      </c>
      <c r="H38" s="429">
        <f t="shared" si="7"/>
        <v>39036.421915529754</v>
      </c>
      <c r="I38" s="429">
        <f t="shared" si="5"/>
        <v>9344412.8466341831</v>
      </c>
      <c r="J38" s="429">
        <f>SUM($H$18:$H38)</f>
        <v>840417.05181243119</v>
      </c>
    </row>
    <row r="39" spans="1:10" ht="15" customHeight="1" x14ac:dyDescent="0.15">
      <c r="A39" s="427">
        <v>22</v>
      </c>
      <c r="B39" s="428">
        <f t="shared" si="0"/>
        <v>43040</v>
      </c>
      <c r="C39" s="429">
        <f t="shared" si="6"/>
        <v>9344412.8466341831</v>
      </c>
      <c r="D39" s="429">
        <f t="shared" si="1"/>
        <v>63364.835008488124</v>
      </c>
      <c r="E39" s="430">
        <f t="shared" si="2"/>
        <v>0</v>
      </c>
      <c r="F39" s="429">
        <f t="shared" si="3"/>
        <v>63364.835008488124</v>
      </c>
      <c r="G39" s="429">
        <f t="shared" si="4"/>
        <v>24429.781480845697</v>
      </c>
      <c r="H39" s="429">
        <f t="shared" si="7"/>
        <v>38935.053527642427</v>
      </c>
      <c r="I39" s="429">
        <f t="shared" si="5"/>
        <v>9319983.065153338</v>
      </c>
      <c r="J39" s="429">
        <f>SUM($H$18:$H39)</f>
        <v>879352.10534007358</v>
      </c>
    </row>
    <row r="40" spans="1:10" ht="15" customHeight="1" x14ac:dyDescent="0.15">
      <c r="A40" s="427">
        <v>23</v>
      </c>
      <c r="B40" s="428">
        <f t="shared" si="0"/>
        <v>43070</v>
      </c>
      <c r="C40" s="429">
        <f t="shared" si="6"/>
        <v>9319983.065153338</v>
      </c>
      <c r="D40" s="429">
        <f t="shared" si="1"/>
        <v>63364.835008488124</v>
      </c>
      <c r="E40" s="430">
        <f t="shared" si="2"/>
        <v>0</v>
      </c>
      <c r="F40" s="429">
        <f t="shared" si="3"/>
        <v>63364.835008488124</v>
      </c>
      <c r="G40" s="429">
        <f t="shared" si="4"/>
        <v>24531.572237015884</v>
      </c>
      <c r="H40" s="429">
        <f t="shared" si="7"/>
        <v>38833.26277147224</v>
      </c>
      <c r="I40" s="429">
        <f t="shared" si="5"/>
        <v>9295451.4929163214</v>
      </c>
      <c r="J40" s="429">
        <f>SUM($H$18:$H40)</f>
        <v>918185.3681115458</v>
      </c>
    </row>
    <row r="41" spans="1:10" ht="15" customHeight="1" x14ac:dyDescent="0.15">
      <c r="A41" s="427">
        <v>24</v>
      </c>
      <c r="B41" s="428">
        <f t="shared" si="0"/>
        <v>43101</v>
      </c>
      <c r="C41" s="429">
        <f t="shared" si="6"/>
        <v>9295451.4929163214</v>
      </c>
      <c r="D41" s="429">
        <f t="shared" si="1"/>
        <v>63364.835008488124</v>
      </c>
      <c r="E41" s="430">
        <f t="shared" si="2"/>
        <v>0</v>
      </c>
      <c r="F41" s="429">
        <f t="shared" si="3"/>
        <v>63364.835008488124</v>
      </c>
      <c r="G41" s="429">
        <f t="shared" si="4"/>
        <v>24633.787121336783</v>
      </c>
      <c r="H41" s="429">
        <f t="shared" si="7"/>
        <v>38731.047887151341</v>
      </c>
      <c r="I41" s="429">
        <f t="shared" si="5"/>
        <v>9270817.7057949845</v>
      </c>
      <c r="J41" s="429">
        <f>SUM($H$18:$H41)</f>
        <v>956916.41599869716</v>
      </c>
    </row>
    <row r="42" spans="1:10" ht="15" customHeight="1" x14ac:dyDescent="0.15">
      <c r="A42" s="427">
        <v>25</v>
      </c>
      <c r="B42" s="428">
        <f t="shared" si="0"/>
        <v>43132</v>
      </c>
      <c r="C42" s="429">
        <f t="shared" si="6"/>
        <v>9270817.7057949845</v>
      </c>
      <c r="D42" s="429">
        <f t="shared" si="1"/>
        <v>63364.835008488124</v>
      </c>
      <c r="E42" s="430">
        <f t="shared" si="2"/>
        <v>0</v>
      </c>
      <c r="F42" s="429">
        <f t="shared" si="3"/>
        <v>63364.835008488124</v>
      </c>
      <c r="G42" s="429">
        <f t="shared" si="4"/>
        <v>24736.427901009018</v>
      </c>
      <c r="H42" s="429">
        <f t="shared" si="7"/>
        <v>38628.407107479106</v>
      </c>
      <c r="I42" s="429">
        <f t="shared" si="5"/>
        <v>9246081.2778939754</v>
      </c>
      <c r="J42" s="429">
        <f>SUM($H$18:$H42)</f>
        <v>995544.82310617622</v>
      </c>
    </row>
    <row r="43" spans="1:10" ht="15" customHeight="1" x14ac:dyDescent="0.15">
      <c r="A43" s="427">
        <v>26</v>
      </c>
      <c r="B43" s="428">
        <f t="shared" si="0"/>
        <v>43160</v>
      </c>
      <c r="C43" s="429">
        <f t="shared" si="6"/>
        <v>9246081.2778939754</v>
      </c>
      <c r="D43" s="429">
        <f t="shared" si="1"/>
        <v>63364.835008488124</v>
      </c>
      <c r="E43" s="430">
        <f t="shared" si="2"/>
        <v>0</v>
      </c>
      <c r="F43" s="429">
        <f t="shared" si="3"/>
        <v>63364.835008488124</v>
      </c>
      <c r="G43" s="429">
        <f t="shared" si="4"/>
        <v>24839.496350596557</v>
      </c>
      <c r="H43" s="429">
        <f t="shared" si="7"/>
        <v>38525.338657891567</v>
      </c>
      <c r="I43" s="429">
        <f t="shared" si="5"/>
        <v>9221241.7815433796</v>
      </c>
      <c r="J43" s="429">
        <f>SUM($H$18:$H43)</f>
        <v>1034070.1617640678</v>
      </c>
    </row>
    <row r="44" spans="1:10" ht="15" customHeight="1" x14ac:dyDescent="0.15">
      <c r="A44" s="427">
        <v>27</v>
      </c>
      <c r="B44" s="428">
        <f t="shared" si="0"/>
        <v>43191</v>
      </c>
      <c r="C44" s="429">
        <f t="shared" si="6"/>
        <v>9221241.7815433796</v>
      </c>
      <c r="D44" s="429">
        <f t="shared" si="1"/>
        <v>63364.835008488124</v>
      </c>
      <c r="E44" s="430">
        <f t="shared" si="2"/>
        <v>0</v>
      </c>
      <c r="F44" s="429">
        <f t="shared" si="3"/>
        <v>63364.835008488124</v>
      </c>
      <c r="G44" s="429">
        <f t="shared" si="4"/>
        <v>24942.994252057375</v>
      </c>
      <c r="H44" s="429">
        <f t="shared" si="7"/>
        <v>38421.840756430749</v>
      </c>
      <c r="I44" s="429">
        <f t="shared" si="5"/>
        <v>9196298.7872913219</v>
      </c>
      <c r="J44" s="429">
        <f>SUM($H$18:$H44)</f>
        <v>1072492.0025204986</v>
      </c>
    </row>
    <row r="45" spans="1:10" ht="15" customHeight="1" x14ac:dyDescent="0.15">
      <c r="A45" s="427">
        <v>28</v>
      </c>
      <c r="B45" s="428">
        <f t="shared" si="0"/>
        <v>43221</v>
      </c>
      <c r="C45" s="429">
        <f t="shared" si="6"/>
        <v>9196298.7872913219</v>
      </c>
      <c r="D45" s="429">
        <f t="shared" si="1"/>
        <v>63364.835008488124</v>
      </c>
      <c r="E45" s="430">
        <f t="shared" si="2"/>
        <v>0</v>
      </c>
      <c r="F45" s="429">
        <f t="shared" si="3"/>
        <v>63364.835008488124</v>
      </c>
      <c r="G45" s="429">
        <f t="shared" si="4"/>
        <v>25046.923394774283</v>
      </c>
      <c r="H45" s="429">
        <f t="shared" si="7"/>
        <v>38317.911613713841</v>
      </c>
      <c r="I45" s="429">
        <f t="shared" si="5"/>
        <v>9171251.8638965469</v>
      </c>
      <c r="J45" s="429">
        <f>SUM($H$18:$H45)</f>
        <v>1110809.9141342125</v>
      </c>
    </row>
    <row r="46" spans="1:10" ht="15" customHeight="1" x14ac:dyDescent="0.15">
      <c r="A46" s="427">
        <v>29</v>
      </c>
      <c r="B46" s="428">
        <f t="shared" si="0"/>
        <v>43252</v>
      </c>
      <c r="C46" s="429">
        <f t="shared" si="6"/>
        <v>9171251.8638965469</v>
      </c>
      <c r="D46" s="429">
        <f t="shared" si="1"/>
        <v>63364.835008488124</v>
      </c>
      <c r="E46" s="430">
        <f t="shared" si="2"/>
        <v>0</v>
      </c>
      <c r="F46" s="429">
        <f t="shared" si="3"/>
        <v>63364.835008488124</v>
      </c>
      <c r="G46" s="429">
        <f t="shared" si="4"/>
        <v>25151.28557558584</v>
      </c>
      <c r="H46" s="429">
        <f t="shared" si="7"/>
        <v>38213.549432902284</v>
      </c>
      <c r="I46" s="429">
        <f t="shared" si="5"/>
        <v>9146100.5783209614</v>
      </c>
      <c r="J46" s="429">
        <f>SUM($H$18:$H46)</f>
        <v>1149023.4635671149</v>
      </c>
    </row>
    <row r="47" spans="1:10" ht="15" customHeight="1" x14ac:dyDescent="0.15">
      <c r="A47" s="427">
        <v>30</v>
      </c>
      <c r="B47" s="428">
        <f t="shared" si="0"/>
        <v>43282</v>
      </c>
      <c r="C47" s="429">
        <f t="shared" si="6"/>
        <v>9146100.5783209614</v>
      </c>
      <c r="D47" s="429">
        <f t="shared" si="1"/>
        <v>63364.835008488124</v>
      </c>
      <c r="E47" s="430">
        <f t="shared" si="2"/>
        <v>0</v>
      </c>
      <c r="F47" s="429">
        <f t="shared" si="3"/>
        <v>63364.835008488124</v>
      </c>
      <c r="G47" s="429">
        <f t="shared" si="4"/>
        <v>25256.082598817447</v>
      </c>
      <c r="H47" s="429">
        <f t="shared" si="7"/>
        <v>38108.752409670677</v>
      </c>
      <c r="I47" s="429">
        <f t="shared" si="5"/>
        <v>9120844.4957221448</v>
      </c>
      <c r="J47" s="429">
        <f>SUM($H$18:$H47)</f>
        <v>1187132.2159767856</v>
      </c>
    </row>
    <row r="48" spans="1:10" ht="15" customHeight="1" x14ac:dyDescent="0.15">
      <c r="A48" s="427">
        <v>31</v>
      </c>
      <c r="B48" s="428">
        <f t="shared" si="0"/>
        <v>43313</v>
      </c>
      <c r="C48" s="429">
        <f t="shared" si="6"/>
        <v>9120844.4957221448</v>
      </c>
      <c r="D48" s="429">
        <f t="shared" si="1"/>
        <v>63364.835008488124</v>
      </c>
      <c r="E48" s="430">
        <f t="shared" si="2"/>
        <v>0</v>
      </c>
      <c r="F48" s="429">
        <f t="shared" si="3"/>
        <v>63364.835008488124</v>
      </c>
      <c r="G48" s="429">
        <f t="shared" si="4"/>
        <v>25361.316276312522</v>
      </c>
      <c r="H48" s="429">
        <f t="shared" si="7"/>
        <v>38003.518732175602</v>
      </c>
      <c r="I48" s="429">
        <f t="shared" si="5"/>
        <v>9095483.179445833</v>
      </c>
      <c r="J48" s="429">
        <f>SUM($H$18:$H48)</f>
        <v>1225135.7347089613</v>
      </c>
    </row>
    <row r="49" spans="1:10" ht="15" customHeight="1" x14ac:dyDescent="0.15">
      <c r="A49" s="427">
        <v>32</v>
      </c>
      <c r="B49" s="428">
        <f t="shared" si="0"/>
        <v>43344</v>
      </c>
      <c r="C49" s="429">
        <f t="shared" si="6"/>
        <v>9095483.179445833</v>
      </c>
      <c r="D49" s="429">
        <f t="shared" si="1"/>
        <v>63364.835008488124</v>
      </c>
      <c r="E49" s="430">
        <f t="shared" si="2"/>
        <v>0</v>
      </c>
      <c r="F49" s="429">
        <f t="shared" si="3"/>
        <v>63364.835008488124</v>
      </c>
      <c r="G49" s="429">
        <f t="shared" si="4"/>
        <v>25466.988427463817</v>
      </c>
      <c r="H49" s="429">
        <f t="shared" si="7"/>
        <v>37897.846581024307</v>
      </c>
      <c r="I49" s="429">
        <f t="shared" si="5"/>
        <v>9070016.191018369</v>
      </c>
      <c r="J49" s="429">
        <f>SUM($H$18:$H49)</f>
        <v>1263033.5812899857</v>
      </c>
    </row>
    <row r="50" spans="1:10" ht="15" customHeight="1" x14ac:dyDescent="0.15">
      <c r="A50" s="427">
        <v>33</v>
      </c>
      <c r="B50" s="428">
        <f t="shared" si="0"/>
        <v>43374</v>
      </c>
      <c r="C50" s="429">
        <f t="shared" si="6"/>
        <v>9070016.191018369</v>
      </c>
      <c r="D50" s="429">
        <f t="shared" si="1"/>
        <v>63364.835008488124</v>
      </c>
      <c r="E50" s="430">
        <f t="shared" si="2"/>
        <v>0</v>
      </c>
      <c r="F50" s="429">
        <f t="shared" si="3"/>
        <v>63364.835008488124</v>
      </c>
      <c r="G50" s="429">
        <f t="shared" si="4"/>
        <v>25573.100879244921</v>
      </c>
      <c r="H50" s="429">
        <f t="shared" si="7"/>
        <v>37791.734129243203</v>
      </c>
      <c r="I50" s="429">
        <f t="shared" si="5"/>
        <v>9044443.0901391245</v>
      </c>
      <c r="J50" s="429">
        <f>SUM($H$18:$H50)</f>
        <v>1300825.315419229</v>
      </c>
    </row>
    <row r="51" spans="1:10" ht="15" customHeight="1" x14ac:dyDescent="0.15">
      <c r="A51" s="427">
        <v>34</v>
      </c>
      <c r="B51" s="428">
        <f t="shared" si="0"/>
        <v>43405</v>
      </c>
      <c r="C51" s="429">
        <f t="shared" si="6"/>
        <v>9044443.0901391245</v>
      </c>
      <c r="D51" s="429">
        <f t="shared" si="1"/>
        <v>63364.835008488124</v>
      </c>
      <c r="E51" s="430">
        <f t="shared" si="2"/>
        <v>0</v>
      </c>
      <c r="F51" s="429">
        <f t="shared" si="3"/>
        <v>63364.835008488124</v>
      </c>
      <c r="G51" s="429">
        <f t="shared" si="4"/>
        <v>25679.655466241769</v>
      </c>
      <c r="H51" s="429">
        <f t="shared" si="7"/>
        <v>37685.179542246355</v>
      </c>
      <c r="I51" s="429">
        <f t="shared" si="5"/>
        <v>9018763.4346728828</v>
      </c>
      <c r="J51" s="429">
        <f>SUM($H$18:$H51)</f>
        <v>1338510.4949614753</v>
      </c>
    </row>
    <row r="52" spans="1:10" ht="15" customHeight="1" x14ac:dyDescent="0.15">
      <c r="A52" s="427">
        <v>35</v>
      </c>
      <c r="B52" s="428">
        <f t="shared" si="0"/>
        <v>43435</v>
      </c>
      <c r="C52" s="429">
        <f t="shared" si="6"/>
        <v>9018763.4346728828</v>
      </c>
      <c r="D52" s="429">
        <f t="shared" si="1"/>
        <v>63364.835008488124</v>
      </c>
      <c r="E52" s="430">
        <f t="shared" si="2"/>
        <v>0</v>
      </c>
      <c r="F52" s="429">
        <f t="shared" si="3"/>
        <v>63364.835008488124</v>
      </c>
      <c r="G52" s="429">
        <f t="shared" si="4"/>
        <v>25786.654030684447</v>
      </c>
      <c r="H52" s="429">
        <f t="shared" si="7"/>
        <v>37578.180977803677</v>
      </c>
      <c r="I52" s="429">
        <f t="shared" si="5"/>
        <v>8992976.7806421984</v>
      </c>
      <c r="J52" s="429">
        <f>SUM($H$18:$H52)</f>
        <v>1376088.6759392789</v>
      </c>
    </row>
    <row r="53" spans="1:10" ht="15" customHeight="1" x14ac:dyDescent="0.15">
      <c r="A53" s="427">
        <v>36</v>
      </c>
      <c r="B53" s="428">
        <f t="shared" si="0"/>
        <v>43466</v>
      </c>
      <c r="C53" s="429">
        <f t="shared" si="6"/>
        <v>8992976.7806421984</v>
      </c>
      <c r="D53" s="429">
        <f t="shared" si="1"/>
        <v>63364.835008488124</v>
      </c>
      <c r="E53" s="430">
        <f t="shared" si="2"/>
        <v>0</v>
      </c>
      <c r="F53" s="429">
        <f t="shared" si="3"/>
        <v>63364.835008488124</v>
      </c>
      <c r="G53" s="429">
        <f t="shared" si="4"/>
        <v>25894.098422478964</v>
      </c>
      <c r="H53" s="429">
        <f t="shared" si="7"/>
        <v>37470.73658600916</v>
      </c>
      <c r="I53" s="429">
        <f t="shared" si="5"/>
        <v>8967082.6822197195</v>
      </c>
      <c r="J53" s="429">
        <f>SUM($H$18:$H53)</f>
        <v>1413559.4125252881</v>
      </c>
    </row>
    <row r="54" spans="1:10" ht="15" customHeight="1" x14ac:dyDescent="0.15">
      <c r="A54" s="427">
        <v>37</v>
      </c>
      <c r="B54" s="428">
        <f t="shared" si="0"/>
        <v>43497</v>
      </c>
      <c r="C54" s="429">
        <f t="shared" si="6"/>
        <v>8967082.6822197195</v>
      </c>
      <c r="D54" s="429">
        <f t="shared" si="1"/>
        <v>63364.835008488124</v>
      </c>
      <c r="E54" s="430">
        <f t="shared" si="2"/>
        <v>0</v>
      </c>
      <c r="F54" s="429">
        <f t="shared" si="3"/>
        <v>63364.835008488124</v>
      </c>
      <c r="G54" s="429">
        <f t="shared" si="4"/>
        <v>26001.990499239291</v>
      </c>
      <c r="H54" s="429">
        <f t="shared" si="7"/>
        <v>37362.844509248833</v>
      </c>
      <c r="I54" s="429">
        <f t="shared" si="5"/>
        <v>8941080.6917204801</v>
      </c>
      <c r="J54" s="429">
        <f>SUM($H$18:$H54)</f>
        <v>1450922.2570345369</v>
      </c>
    </row>
    <row r="55" spans="1:10" ht="15" customHeight="1" x14ac:dyDescent="0.15">
      <c r="A55" s="427">
        <v>38</v>
      </c>
      <c r="B55" s="428">
        <f t="shared" si="0"/>
        <v>43525</v>
      </c>
      <c r="C55" s="429">
        <f t="shared" si="6"/>
        <v>8941080.6917204801</v>
      </c>
      <c r="D55" s="429">
        <f t="shared" si="1"/>
        <v>63364.835008488124</v>
      </c>
      <c r="E55" s="430">
        <f t="shared" si="2"/>
        <v>0</v>
      </c>
      <c r="F55" s="429">
        <f t="shared" si="3"/>
        <v>63364.835008488124</v>
      </c>
      <c r="G55" s="429">
        <f t="shared" si="4"/>
        <v>26110.332126319459</v>
      </c>
      <c r="H55" s="429">
        <f t="shared" si="7"/>
        <v>37254.502882168665</v>
      </c>
      <c r="I55" s="429">
        <f t="shared" si="5"/>
        <v>8914970.3595941607</v>
      </c>
      <c r="J55" s="429">
        <f>SUM($H$18:$H55)</f>
        <v>1488176.7599167055</v>
      </c>
    </row>
    <row r="56" spans="1:10" ht="15" customHeight="1" x14ac:dyDescent="0.15">
      <c r="A56" s="427">
        <v>39</v>
      </c>
      <c r="B56" s="428">
        <f t="shared" si="0"/>
        <v>43556</v>
      </c>
      <c r="C56" s="429">
        <f t="shared" si="6"/>
        <v>8914970.3595941607</v>
      </c>
      <c r="D56" s="429">
        <f t="shared" si="1"/>
        <v>63364.835008488124</v>
      </c>
      <c r="E56" s="430">
        <f t="shared" si="2"/>
        <v>0</v>
      </c>
      <c r="F56" s="429">
        <f t="shared" si="3"/>
        <v>63364.835008488124</v>
      </c>
      <c r="G56" s="429">
        <f t="shared" si="4"/>
        <v>26219.125176845788</v>
      </c>
      <c r="H56" s="429">
        <f t="shared" si="7"/>
        <v>37145.709831642336</v>
      </c>
      <c r="I56" s="429">
        <f t="shared" si="5"/>
        <v>8888751.2344173156</v>
      </c>
      <c r="J56" s="429">
        <f>SUM($H$18:$H56)</f>
        <v>1525322.469748348</v>
      </c>
    </row>
    <row r="57" spans="1:10" ht="15" customHeight="1" x14ac:dyDescent="0.15">
      <c r="A57" s="427">
        <v>40</v>
      </c>
      <c r="B57" s="428">
        <f t="shared" si="0"/>
        <v>43586</v>
      </c>
      <c r="C57" s="429">
        <f t="shared" si="6"/>
        <v>8888751.2344173156</v>
      </c>
      <c r="D57" s="429">
        <f t="shared" si="1"/>
        <v>63364.835008488124</v>
      </c>
      <c r="E57" s="430">
        <f t="shared" si="2"/>
        <v>0</v>
      </c>
      <c r="F57" s="429">
        <f t="shared" si="3"/>
        <v>63364.835008488124</v>
      </c>
      <c r="G57" s="429">
        <f t="shared" si="4"/>
        <v>26328.371531749312</v>
      </c>
      <c r="H57" s="429">
        <f t="shared" si="7"/>
        <v>37036.463476738812</v>
      </c>
      <c r="I57" s="429">
        <f t="shared" si="5"/>
        <v>8862422.8628855664</v>
      </c>
      <c r="J57" s="429">
        <f>SUM($H$18:$H57)</f>
        <v>1562358.9332250869</v>
      </c>
    </row>
    <row r="58" spans="1:10" ht="15" customHeight="1" x14ac:dyDescent="0.15">
      <c r="A58" s="427">
        <v>41</v>
      </c>
      <c r="B58" s="428">
        <f t="shared" si="0"/>
        <v>43617</v>
      </c>
      <c r="C58" s="429">
        <f t="shared" si="6"/>
        <v>8862422.8628855664</v>
      </c>
      <c r="D58" s="429">
        <f t="shared" si="1"/>
        <v>63364.835008488124</v>
      </c>
      <c r="E58" s="430">
        <f t="shared" si="2"/>
        <v>0</v>
      </c>
      <c r="F58" s="429">
        <f t="shared" si="3"/>
        <v>63364.835008488124</v>
      </c>
      <c r="G58" s="429">
        <f t="shared" si="4"/>
        <v>26438.073079798261</v>
      </c>
      <c r="H58" s="429">
        <f t="shared" si="7"/>
        <v>36926.761928689863</v>
      </c>
      <c r="I58" s="429">
        <f t="shared" si="5"/>
        <v>8835984.7898057681</v>
      </c>
      <c r="J58" s="429">
        <f>SUM($H$18:$H58)</f>
        <v>1599285.6951537768</v>
      </c>
    </row>
    <row r="59" spans="1:10" ht="15" customHeight="1" x14ac:dyDescent="0.15">
      <c r="A59" s="427">
        <v>42</v>
      </c>
      <c r="B59" s="428">
        <f t="shared" si="0"/>
        <v>43647</v>
      </c>
      <c r="C59" s="429">
        <f t="shared" si="6"/>
        <v>8835984.7898057681</v>
      </c>
      <c r="D59" s="429">
        <f t="shared" si="1"/>
        <v>63364.835008488124</v>
      </c>
      <c r="E59" s="430">
        <f t="shared" si="2"/>
        <v>0</v>
      </c>
      <c r="F59" s="429">
        <f t="shared" si="3"/>
        <v>63364.835008488124</v>
      </c>
      <c r="G59" s="429">
        <f t="shared" si="4"/>
        <v>26548.231717630755</v>
      </c>
      <c r="H59" s="429">
        <f t="shared" si="7"/>
        <v>36816.603290857369</v>
      </c>
      <c r="I59" s="429">
        <f t="shared" si="5"/>
        <v>8809436.5580881368</v>
      </c>
      <c r="J59" s="429">
        <f>SUM($H$18:$H59)</f>
        <v>1636102.2984446341</v>
      </c>
    </row>
    <row r="60" spans="1:10" ht="15" customHeight="1" x14ac:dyDescent="0.15">
      <c r="A60" s="427">
        <v>43</v>
      </c>
      <c r="B60" s="428">
        <f t="shared" si="0"/>
        <v>43678</v>
      </c>
      <c r="C60" s="429">
        <f t="shared" si="6"/>
        <v>8809436.5580881368</v>
      </c>
      <c r="D60" s="429">
        <f t="shared" si="1"/>
        <v>63364.835008488124</v>
      </c>
      <c r="E60" s="430">
        <f t="shared" si="2"/>
        <v>0</v>
      </c>
      <c r="F60" s="429">
        <f t="shared" si="3"/>
        <v>63364.835008488124</v>
      </c>
      <c r="G60" s="429">
        <f t="shared" si="4"/>
        <v>26658.849349787553</v>
      </c>
      <c r="H60" s="429">
        <f t="shared" si="7"/>
        <v>36705.985658700571</v>
      </c>
      <c r="I60" s="429">
        <f t="shared" si="5"/>
        <v>8782777.7087383494</v>
      </c>
      <c r="J60" s="429">
        <f>SUM($H$18:$H60)</f>
        <v>1672808.2841033346</v>
      </c>
    </row>
    <row r="61" spans="1:10" ht="15" customHeight="1" x14ac:dyDescent="0.15">
      <c r="A61" s="427">
        <v>44</v>
      </c>
      <c r="B61" s="428">
        <f t="shared" si="0"/>
        <v>43709</v>
      </c>
      <c r="C61" s="429">
        <f t="shared" si="6"/>
        <v>8782777.7087383494</v>
      </c>
      <c r="D61" s="429">
        <f t="shared" si="1"/>
        <v>63364.835008488124</v>
      </c>
      <c r="E61" s="430">
        <f t="shared" si="2"/>
        <v>0</v>
      </c>
      <c r="F61" s="429">
        <f t="shared" si="3"/>
        <v>63364.835008488124</v>
      </c>
      <c r="G61" s="429">
        <f t="shared" si="4"/>
        <v>26769.927888744998</v>
      </c>
      <c r="H61" s="429">
        <f t="shared" si="7"/>
        <v>36594.907119743126</v>
      </c>
      <c r="I61" s="429">
        <f t="shared" si="5"/>
        <v>8756007.7808496039</v>
      </c>
      <c r="J61" s="429">
        <f>SUM($H$18:$H61)</f>
        <v>1709403.1912230777</v>
      </c>
    </row>
    <row r="62" spans="1:10" ht="15" customHeight="1" x14ac:dyDescent="0.15">
      <c r="A62" s="427">
        <v>45</v>
      </c>
      <c r="B62" s="428">
        <f t="shared" si="0"/>
        <v>43739</v>
      </c>
      <c r="C62" s="429">
        <f t="shared" si="6"/>
        <v>8756007.7808496039</v>
      </c>
      <c r="D62" s="429">
        <f t="shared" si="1"/>
        <v>63364.835008488124</v>
      </c>
      <c r="E62" s="430">
        <f t="shared" si="2"/>
        <v>0</v>
      </c>
      <c r="F62" s="429">
        <f t="shared" si="3"/>
        <v>63364.835008488124</v>
      </c>
      <c r="G62" s="429">
        <f t="shared" si="4"/>
        <v>26881.469254948104</v>
      </c>
      <c r="H62" s="429">
        <f t="shared" si="7"/>
        <v>36483.36575354002</v>
      </c>
      <c r="I62" s="429">
        <f t="shared" si="5"/>
        <v>8729126.3115946557</v>
      </c>
      <c r="J62" s="429">
        <f>SUM($H$18:$H62)</f>
        <v>1745886.5569766178</v>
      </c>
    </row>
    <row r="63" spans="1:10" ht="15" customHeight="1" x14ac:dyDescent="0.15">
      <c r="A63" s="427">
        <v>46</v>
      </c>
      <c r="B63" s="428">
        <f t="shared" si="0"/>
        <v>43770</v>
      </c>
      <c r="C63" s="429">
        <f t="shared" si="6"/>
        <v>8729126.3115946557</v>
      </c>
      <c r="D63" s="429">
        <f t="shared" si="1"/>
        <v>63364.835008488124</v>
      </c>
      <c r="E63" s="430">
        <f t="shared" si="2"/>
        <v>0</v>
      </c>
      <c r="F63" s="429">
        <f t="shared" si="3"/>
        <v>63364.835008488124</v>
      </c>
      <c r="G63" s="429">
        <f t="shared" si="4"/>
        <v>26993.475376843722</v>
      </c>
      <c r="H63" s="429">
        <f t="shared" si="7"/>
        <v>36371.359631644402</v>
      </c>
      <c r="I63" s="429">
        <f t="shared" si="5"/>
        <v>8702132.8362178113</v>
      </c>
      <c r="J63" s="429">
        <f>SUM($H$18:$H63)</f>
        <v>1782257.9166082621</v>
      </c>
    </row>
    <row r="64" spans="1:10" ht="15" customHeight="1" x14ac:dyDescent="0.15">
      <c r="A64" s="427">
        <v>47</v>
      </c>
      <c r="B64" s="428">
        <f t="shared" si="0"/>
        <v>43800</v>
      </c>
      <c r="C64" s="429">
        <f t="shared" si="6"/>
        <v>8702132.8362178113</v>
      </c>
      <c r="D64" s="429">
        <f t="shared" si="1"/>
        <v>63364.835008488124</v>
      </c>
      <c r="E64" s="430">
        <f t="shared" si="2"/>
        <v>0</v>
      </c>
      <c r="F64" s="429">
        <f t="shared" si="3"/>
        <v>63364.835008488124</v>
      </c>
      <c r="G64" s="429">
        <f t="shared" si="4"/>
        <v>27105.948190913907</v>
      </c>
      <c r="H64" s="429">
        <f t="shared" si="7"/>
        <v>36258.886817574217</v>
      </c>
      <c r="I64" s="429">
        <f t="shared" si="5"/>
        <v>8675026.8880268969</v>
      </c>
      <c r="J64" s="429">
        <f>SUM($H$18:$H64)</f>
        <v>1818516.8034258364</v>
      </c>
    </row>
    <row r="65" spans="1:10" ht="15" customHeight="1" x14ac:dyDescent="0.15">
      <c r="A65" s="427">
        <v>48</v>
      </c>
      <c r="B65" s="428">
        <f t="shared" si="0"/>
        <v>43831</v>
      </c>
      <c r="C65" s="429">
        <f t="shared" si="6"/>
        <v>8675026.8880268969</v>
      </c>
      <c r="D65" s="429">
        <f t="shared" si="1"/>
        <v>63364.835008488124</v>
      </c>
      <c r="E65" s="430">
        <f t="shared" si="2"/>
        <v>0</v>
      </c>
      <c r="F65" s="429">
        <f t="shared" si="3"/>
        <v>63364.835008488124</v>
      </c>
      <c r="G65" s="429">
        <f t="shared" si="4"/>
        <v>27218.889641709386</v>
      </c>
      <c r="H65" s="429">
        <f t="shared" si="7"/>
        <v>36145.945366778738</v>
      </c>
      <c r="I65" s="429">
        <f t="shared" si="5"/>
        <v>8647807.9983851872</v>
      </c>
      <c r="J65" s="429">
        <f>SUM($H$18:$H65)</f>
        <v>1854662.748792615</v>
      </c>
    </row>
    <row r="66" spans="1:10" ht="15" customHeight="1" x14ac:dyDescent="0.15">
      <c r="A66" s="427">
        <v>49</v>
      </c>
      <c r="B66" s="428">
        <f t="shared" si="0"/>
        <v>43862</v>
      </c>
      <c r="C66" s="429">
        <f t="shared" si="6"/>
        <v>8647807.9983851872</v>
      </c>
      <c r="D66" s="429">
        <f t="shared" si="1"/>
        <v>63364.835008488124</v>
      </c>
      <c r="E66" s="430">
        <f t="shared" si="2"/>
        <v>0</v>
      </c>
      <c r="F66" s="429">
        <f t="shared" si="3"/>
        <v>63364.835008488124</v>
      </c>
      <c r="G66" s="429">
        <f t="shared" si="4"/>
        <v>27332.301681883175</v>
      </c>
      <c r="H66" s="429">
        <f t="shared" si="7"/>
        <v>36032.533326604949</v>
      </c>
      <c r="I66" s="429">
        <f t="shared" si="5"/>
        <v>8620475.6967033036</v>
      </c>
      <c r="J66" s="429">
        <f>SUM($H$18:$H66)</f>
        <v>1890695.2821192199</v>
      </c>
    </row>
    <row r="67" spans="1:10" ht="15" customHeight="1" x14ac:dyDescent="0.15">
      <c r="A67" s="427">
        <v>50</v>
      </c>
      <c r="B67" s="428">
        <f t="shared" si="0"/>
        <v>43891</v>
      </c>
      <c r="C67" s="429">
        <f t="shared" si="6"/>
        <v>8620475.6967033036</v>
      </c>
      <c r="D67" s="429">
        <f t="shared" si="1"/>
        <v>63364.835008488124</v>
      </c>
      <c r="E67" s="430">
        <f t="shared" si="2"/>
        <v>0</v>
      </c>
      <c r="F67" s="429">
        <f t="shared" si="3"/>
        <v>63364.835008488124</v>
      </c>
      <c r="G67" s="429">
        <f t="shared" si="4"/>
        <v>27446.18627222436</v>
      </c>
      <c r="H67" s="429">
        <f t="shared" si="7"/>
        <v>35918.648736263764</v>
      </c>
      <c r="I67" s="429">
        <f t="shared" si="5"/>
        <v>8593029.5104310792</v>
      </c>
      <c r="J67" s="429">
        <f>SUM($H$18:$H67)</f>
        <v>1926613.9308554837</v>
      </c>
    </row>
    <row r="68" spans="1:10" ht="15" customHeight="1" x14ac:dyDescent="0.15">
      <c r="A68" s="427">
        <v>51</v>
      </c>
      <c r="B68" s="428">
        <f t="shared" si="0"/>
        <v>43922</v>
      </c>
      <c r="C68" s="429">
        <f t="shared" si="6"/>
        <v>8593029.5104310792</v>
      </c>
      <c r="D68" s="429">
        <f t="shared" si="1"/>
        <v>63364.835008488124</v>
      </c>
      <c r="E68" s="430">
        <f t="shared" si="2"/>
        <v>0</v>
      </c>
      <c r="F68" s="429">
        <f t="shared" si="3"/>
        <v>63364.835008488124</v>
      </c>
      <c r="G68" s="429">
        <f t="shared" si="4"/>
        <v>27560.545381691954</v>
      </c>
      <c r="H68" s="429">
        <f t="shared" si="7"/>
        <v>35804.28962679617</v>
      </c>
      <c r="I68" s="429">
        <f t="shared" si="5"/>
        <v>8565468.9650493879</v>
      </c>
      <c r="J68" s="429">
        <f>SUM($H$18:$H68)</f>
        <v>1962418.22048228</v>
      </c>
    </row>
    <row r="69" spans="1:10" ht="15" customHeight="1" x14ac:dyDescent="0.15">
      <c r="A69" s="427">
        <v>52</v>
      </c>
      <c r="B69" s="428">
        <f t="shared" si="0"/>
        <v>43952</v>
      </c>
      <c r="C69" s="429">
        <f t="shared" si="6"/>
        <v>8565468.9650493879</v>
      </c>
      <c r="D69" s="429">
        <f t="shared" si="1"/>
        <v>63364.835008488124</v>
      </c>
      <c r="E69" s="430">
        <f t="shared" si="2"/>
        <v>0</v>
      </c>
      <c r="F69" s="429">
        <f t="shared" si="3"/>
        <v>63364.835008488124</v>
      </c>
      <c r="G69" s="429">
        <f t="shared" si="4"/>
        <v>27675.380987449003</v>
      </c>
      <c r="H69" s="429">
        <f t="shared" si="7"/>
        <v>35689.454021039121</v>
      </c>
      <c r="I69" s="429">
        <f t="shared" si="5"/>
        <v>8537793.5840619393</v>
      </c>
      <c r="J69" s="429">
        <f>SUM($H$18:$H69)</f>
        <v>1998107.6745033192</v>
      </c>
    </row>
    <row r="70" spans="1:10" ht="15" customHeight="1" x14ac:dyDescent="0.15">
      <c r="A70" s="427">
        <v>53</v>
      </c>
      <c r="B70" s="428">
        <f t="shared" si="0"/>
        <v>43983</v>
      </c>
      <c r="C70" s="429">
        <f t="shared" si="6"/>
        <v>8537793.5840619393</v>
      </c>
      <c r="D70" s="429">
        <f t="shared" si="1"/>
        <v>63364.835008488124</v>
      </c>
      <c r="E70" s="430">
        <f t="shared" si="2"/>
        <v>0</v>
      </c>
      <c r="F70" s="429">
        <f t="shared" si="3"/>
        <v>63364.835008488124</v>
      </c>
      <c r="G70" s="429">
        <f t="shared" si="4"/>
        <v>27790.695074896707</v>
      </c>
      <c r="H70" s="429">
        <f t="shared" si="7"/>
        <v>35574.139933591418</v>
      </c>
      <c r="I70" s="429">
        <f t="shared" si="5"/>
        <v>8510002.888987042</v>
      </c>
      <c r="J70" s="429">
        <f>SUM($H$18:$H70)</f>
        <v>2033681.8144369107</v>
      </c>
    </row>
    <row r="71" spans="1:10" ht="15" customHeight="1" x14ac:dyDescent="0.15">
      <c r="A71" s="427">
        <v>54</v>
      </c>
      <c r="B71" s="428">
        <f t="shared" si="0"/>
        <v>44013</v>
      </c>
      <c r="C71" s="429">
        <f t="shared" si="6"/>
        <v>8510002.888987042</v>
      </c>
      <c r="D71" s="429">
        <f t="shared" si="1"/>
        <v>63364.835008488124</v>
      </c>
      <c r="E71" s="430">
        <f t="shared" si="2"/>
        <v>0</v>
      </c>
      <c r="F71" s="429">
        <f t="shared" si="3"/>
        <v>63364.835008488124</v>
      </c>
      <c r="G71" s="429">
        <f t="shared" si="4"/>
        <v>27906.489637708779</v>
      </c>
      <c r="H71" s="429">
        <f t="shared" si="7"/>
        <v>35458.345370779345</v>
      </c>
      <c r="I71" s="429">
        <f t="shared" si="5"/>
        <v>8482096.3993493337</v>
      </c>
      <c r="J71" s="429">
        <f>SUM($H$18:$H71)</f>
        <v>2069140.15980769</v>
      </c>
    </row>
    <row r="72" spans="1:10" ht="15" customHeight="1" x14ac:dyDescent="0.15">
      <c r="A72" s="427">
        <v>55</v>
      </c>
      <c r="B72" s="428">
        <f t="shared" si="0"/>
        <v>44044</v>
      </c>
      <c r="C72" s="429">
        <f t="shared" si="6"/>
        <v>8482096.3993493337</v>
      </c>
      <c r="D72" s="429">
        <f t="shared" si="1"/>
        <v>63364.835008488124</v>
      </c>
      <c r="E72" s="430">
        <f t="shared" si="2"/>
        <v>0</v>
      </c>
      <c r="F72" s="429">
        <f t="shared" si="3"/>
        <v>63364.835008488124</v>
      </c>
      <c r="G72" s="429">
        <f t="shared" si="4"/>
        <v>28022.766677865897</v>
      </c>
      <c r="H72" s="429">
        <f t="shared" si="7"/>
        <v>35342.068330622227</v>
      </c>
      <c r="I72" s="429">
        <f t="shared" si="5"/>
        <v>8454073.632671468</v>
      </c>
      <c r="J72" s="429">
        <f>SUM($H$18:$H72)</f>
        <v>2104482.2281383122</v>
      </c>
    </row>
    <row r="73" spans="1:10" ht="15" customHeight="1" x14ac:dyDescent="0.15">
      <c r="A73" s="427">
        <v>56</v>
      </c>
      <c r="B73" s="428">
        <f t="shared" si="0"/>
        <v>44075</v>
      </c>
      <c r="C73" s="429">
        <f t="shared" si="6"/>
        <v>8454073.632671468</v>
      </c>
      <c r="D73" s="429">
        <f t="shared" si="1"/>
        <v>63364.835008488124</v>
      </c>
      <c r="E73" s="430">
        <f t="shared" si="2"/>
        <v>0</v>
      </c>
      <c r="F73" s="429">
        <f t="shared" si="3"/>
        <v>63364.835008488124</v>
      </c>
      <c r="G73" s="429">
        <f t="shared" si="4"/>
        <v>28139.528205690338</v>
      </c>
      <c r="H73" s="429">
        <f t="shared" si="7"/>
        <v>35225.306802797786</v>
      </c>
      <c r="I73" s="429">
        <f t="shared" si="5"/>
        <v>8425934.1044657771</v>
      </c>
      <c r="J73" s="429">
        <f>SUM($H$18:$H73)</f>
        <v>2139707.5349411098</v>
      </c>
    </row>
    <row r="74" spans="1:10" ht="15" customHeight="1" x14ac:dyDescent="0.15">
      <c r="A74" s="427">
        <v>57</v>
      </c>
      <c r="B74" s="428">
        <f t="shared" si="0"/>
        <v>44105</v>
      </c>
      <c r="C74" s="429">
        <f t="shared" si="6"/>
        <v>8425934.1044657771</v>
      </c>
      <c r="D74" s="429">
        <f t="shared" si="1"/>
        <v>63364.835008488124</v>
      </c>
      <c r="E74" s="430">
        <f t="shared" si="2"/>
        <v>0</v>
      </c>
      <c r="F74" s="429">
        <f t="shared" si="3"/>
        <v>63364.835008488124</v>
      </c>
      <c r="G74" s="429">
        <f t="shared" si="4"/>
        <v>28256.776239880717</v>
      </c>
      <c r="H74" s="429">
        <f t="shared" si="7"/>
        <v>35108.058768607407</v>
      </c>
      <c r="I74" s="429">
        <f t="shared" si="5"/>
        <v>8397677.3282258958</v>
      </c>
      <c r="J74" s="429">
        <f>SUM($H$18:$H74)</f>
        <v>2174815.593709717</v>
      </c>
    </row>
    <row r="75" spans="1:10" ht="15" customHeight="1" x14ac:dyDescent="0.15">
      <c r="A75" s="427">
        <v>58</v>
      </c>
      <c r="B75" s="428">
        <f t="shared" si="0"/>
        <v>44136</v>
      </c>
      <c r="C75" s="429">
        <f t="shared" si="6"/>
        <v>8397677.3282258958</v>
      </c>
      <c r="D75" s="429">
        <f t="shared" si="1"/>
        <v>63364.835008488124</v>
      </c>
      <c r="E75" s="430">
        <f t="shared" si="2"/>
        <v>0</v>
      </c>
      <c r="F75" s="429">
        <f t="shared" si="3"/>
        <v>63364.835008488124</v>
      </c>
      <c r="G75" s="429">
        <f t="shared" si="4"/>
        <v>28374.512807546889</v>
      </c>
      <c r="H75" s="429">
        <f t="shared" si="7"/>
        <v>34990.322200941235</v>
      </c>
      <c r="I75" s="429">
        <f t="shared" si="5"/>
        <v>8369302.8154183486</v>
      </c>
      <c r="J75" s="429">
        <f>SUM($H$18:$H75)</f>
        <v>2209805.9159106584</v>
      </c>
    </row>
    <row r="76" spans="1:10" ht="15" customHeight="1" x14ac:dyDescent="0.15">
      <c r="A76" s="427">
        <v>59</v>
      </c>
      <c r="B76" s="428">
        <f t="shared" si="0"/>
        <v>44166</v>
      </c>
      <c r="C76" s="429">
        <f t="shared" si="6"/>
        <v>8369302.8154183486</v>
      </c>
      <c r="D76" s="429">
        <f t="shared" si="1"/>
        <v>63364.835008488124</v>
      </c>
      <c r="E76" s="430">
        <f t="shared" si="2"/>
        <v>0</v>
      </c>
      <c r="F76" s="429">
        <f t="shared" si="3"/>
        <v>63364.835008488124</v>
      </c>
      <c r="G76" s="429">
        <f t="shared" si="4"/>
        <v>28492.739944245004</v>
      </c>
      <c r="H76" s="429">
        <f t="shared" si="7"/>
        <v>34872.09506424312</v>
      </c>
      <c r="I76" s="429">
        <f t="shared" si="5"/>
        <v>8340810.0754741039</v>
      </c>
      <c r="J76" s="429">
        <f>SUM($H$18:$H76)</f>
        <v>2244678.0109749017</v>
      </c>
    </row>
    <row r="77" spans="1:10" ht="15" customHeight="1" x14ac:dyDescent="0.15">
      <c r="A77" s="427">
        <v>60</v>
      </c>
      <c r="B77" s="428">
        <f t="shared" si="0"/>
        <v>44197</v>
      </c>
      <c r="C77" s="429">
        <f t="shared" si="6"/>
        <v>8340810.0754741039</v>
      </c>
      <c r="D77" s="429">
        <f t="shared" si="1"/>
        <v>63364.835008488124</v>
      </c>
      <c r="E77" s="430">
        <f t="shared" si="2"/>
        <v>0</v>
      </c>
      <c r="F77" s="429">
        <f t="shared" si="3"/>
        <v>63364.835008488124</v>
      </c>
      <c r="G77" s="429">
        <f t="shared" si="4"/>
        <v>28611.459694012687</v>
      </c>
      <c r="H77" s="429">
        <f t="shared" si="7"/>
        <v>34753.375314475437</v>
      </c>
      <c r="I77" s="429">
        <f t="shared" si="5"/>
        <v>8312198.6157800909</v>
      </c>
      <c r="J77" s="429">
        <f>SUM($H$18:$H77)</f>
        <v>2279431.3862893772</v>
      </c>
    </row>
    <row r="78" spans="1:10" ht="15" customHeight="1" x14ac:dyDescent="0.15">
      <c r="A78" s="427">
        <v>61</v>
      </c>
      <c r="B78" s="428">
        <f t="shared" si="0"/>
        <v>44228</v>
      </c>
      <c r="C78" s="429">
        <f t="shared" si="6"/>
        <v>8312198.6157800909</v>
      </c>
      <c r="D78" s="429">
        <f t="shared" si="1"/>
        <v>63364.835008488124</v>
      </c>
      <c r="E78" s="430">
        <f t="shared" si="2"/>
        <v>0</v>
      </c>
      <c r="F78" s="429">
        <f t="shared" si="3"/>
        <v>63364.835008488124</v>
      </c>
      <c r="G78" s="429">
        <f t="shared" si="4"/>
        <v>28730.674109404412</v>
      </c>
      <c r="H78" s="429">
        <f t="shared" si="7"/>
        <v>34634.160899083712</v>
      </c>
      <c r="I78" s="429">
        <f t="shared" si="5"/>
        <v>8283467.9416706869</v>
      </c>
      <c r="J78" s="429">
        <f>SUM($H$18:$H78)</f>
        <v>2314065.5471884608</v>
      </c>
    </row>
    <row r="79" spans="1:10" ht="15" customHeight="1" x14ac:dyDescent="0.15">
      <c r="A79" s="427">
        <v>62</v>
      </c>
      <c r="B79" s="428">
        <f t="shared" si="0"/>
        <v>44256</v>
      </c>
      <c r="C79" s="429">
        <f t="shared" si="6"/>
        <v>8283467.9416706869</v>
      </c>
      <c r="D79" s="429">
        <f t="shared" si="1"/>
        <v>63364.835008488124</v>
      </c>
      <c r="E79" s="430">
        <f t="shared" si="2"/>
        <v>0</v>
      </c>
      <c r="F79" s="429">
        <f t="shared" si="3"/>
        <v>63364.835008488124</v>
      </c>
      <c r="G79" s="429">
        <f t="shared" si="4"/>
        <v>28850.385251526925</v>
      </c>
      <c r="H79" s="429">
        <f t="shared" si="7"/>
        <v>34514.449756961199</v>
      </c>
      <c r="I79" s="429">
        <f t="shared" si="5"/>
        <v>8254617.5564191602</v>
      </c>
      <c r="J79" s="429">
        <f>SUM($H$18:$H79)</f>
        <v>2348579.9969454221</v>
      </c>
    </row>
    <row r="80" spans="1:10" ht="15" customHeight="1" x14ac:dyDescent="0.15">
      <c r="A80" s="427">
        <v>63</v>
      </c>
      <c r="B80" s="428">
        <f t="shared" si="0"/>
        <v>44287</v>
      </c>
      <c r="C80" s="429">
        <f t="shared" si="6"/>
        <v>8254617.5564191602</v>
      </c>
      <c r="D80" s="429">
        <f t="shared" si="1"/>
        <v>63364.835008488124</v>
      </c>
      <c r="E80" s="430">
        <f t="shared" si="2"/>
        <v>0</v>
      </c>
      <c r="F80" s="429">
        <f t="shared" si="3"/>
        <v>63364.835008488124</v>
      </c>
      <c r="G80" s="429">
        <f t="shared" si="4"/>
        <v>28970.595190074957</v>
      </c>
      <c r="H80" s="429">
        <f t="shared" si="7"/>
        <v>34394.239818413167</v>
      </c>
      <c r="I80" s="429">
        <f t="shared" si="5"/>
        <v>8225646.961229085</v>
      </c>
      <c r="J80" s="429">
        <f>SUM($H$18:$H80)</f>
        <v>2382974.2367638354</v>
      </c>
    </row>
    <row r="81" spans="1:10" ht="15" customHeight="1" x14ac:dyDescent="0.15">
      <c r="A81" s="427">
        <v>64</v>
      </c>
      <c r="B81" s="428">
        <f t="shared" si="0"/>
        <v>44317</v>
      </c>
      <c r="C81" s="429">
        <f t="shared" si="6"/>
        <v>8225646.961229085</v>
      </c>
      <c r="D81" s="429">
        <f t="shared" si="1"/>
        <v>63364.835008488124</v>
      </c>
      <c r="E81" s="430">
        <f t="shared" si="2"/>
        <v>0</v>
      </c>
      <c r="F81" s="429">
        <f t="shared" si="3"/>
        <v>63364.835008488124</v>
      </c>
      <c r="G81" s="429">
        <f t="shared" si="4"/>
        <v>29091.306003366939</v>
      </c>
      <c r="H81" s="429">
        <f t="shared" si="7"/>
        <v>34273.529005121185</v>
      </c>
      <c r="I81" s="429">
        <f t="shared" si="5"/>
        <v>8196555.6552257184</v>
      </c>
      <c r="J81" s="429">
        <f>SUM($H$18:$H81)</f>
        <v>2417247.7657689564</v>
      </c>
    </row>
    <row r="82" spans="1:10" ht="15" customHeight="1" x14ac:dyDescent="0.15">
      <c r="A82" s="427">
        <v>65</v>
      </c>
      <c r="B82" s="428">
        <f t="shared" si="0"/>
        <v>44348</v>
      </c>
      <c r="C82" s="429">
        <f t="shared" si="6"/>
        <v>8196555.6552257184</v>
      </c>
      <c r="D82" s="429">
        <f t="shared" si="1"/>
        <v>63364.835008488124</v>
      </c>
      <c r="E82" s="430">
        <f t="shared" si="2"/>
        <v>0</v>
      </c>
      <c r="F82" s="429">
        <f t="shared" si="3"/>
        <v>63364.835008488124</v>
      </c>
      <c r="G82" s="429">
        <f t="shared" si="4"/>
        <v>29212.519778380964</v>
      </c>
      <c r="H82" s="429">
        <f t="shared" si="7"/>
        <v>34152.31523010716</v>
      </c>
      <c r="I82" s="429">
        <f t="shared" si="5"/>
        <v>8167343.1354473373</v>
      </c>
      <c r="J82" s="429">
        <f>SUM($H$18:$H82)</f>
        <v>2451400.0809990633</v>
      </c>
    </row>
    <row r="83" spans="1:10" ht="15" customHeight="1" x14ac:dyDescent="0.15">
      <c r="A83" s="427">
        <v>66</v>
      </c>
      <c r="B83" s="428">
        <f t="shared" si="0"/>
        <v>44378</v>
      </c>
      <c r="C83" s="429">
        <f t="shared" ref="C83:C146" si="8">IF($A$18:$A$377&lt;&gt;"",I82,"")</f>
        <v>8167343.1354473373</v>
      </c>
      <c r="D83" s="429">
        <f t="shared" si="1"/>
        <v>63364.835008488124</v>
      </c>
      <c r="E83" s="430">
        <f t="shared" si="2"/>
        <v>0</v>
      </c>
      <c r="F83" s="429">
        <f t="shared" si="3"/>
        <v>63364.835008488124</v>
      </c>
      <c r="G83" s="429">
        <f t="shared" si="4"/>
        <v>29334.238610790882</v>
      </c>
      <c r="H83" s="429">
        <f t="shared" si="7"/>
        <v>34030.596397697242</v>
      </c>
      <c r="I83" s="429">
        <f t="shared" si="5"/>
        <v>8138008.8968365462</v>
      </c>
      <c r="J83" s="429">
        <f>SUM($H$18:$H83)</f>
        <v>2485430.6773967608</v>
      </c>
    </row>
    <row r="84" spans="1:10" ht="15" customHeight="1" x14ac:dyDescent="0.15">
      <c r="A84" s="427">
        <v>67</v>
      </c>
      <c r="B84" s="428">
        <f t="shared" si="0"/>
        <v>44409</v>
      </c>
      <c r="C84" s="429">
        <f t="shared" si="8"/>
        <v>8138008.8968365462</v>
      </c>
      <c r="D84" s="429">
        <f t="shared" si="1"/>
        <v>63364.835008488124</v>
      </c>
      <c r="E84" s="430">
        <f t="shared" si="2"/>
        <v>0</v>
      </c>
      <c r="F84" s="429">
        <f t="shared" si="3"/>
        <v>63364.835008488124</v>
      </c>
      <c r="G84" s="429">
        <f t="shared" si="4"/>
        <v>29456.464605002511</v>
      </c>
      <c r="H84" s="429">
        <f t="shared" si="7"/>
        <v>33908.370403485613</v>
      </c>
      <c r="I84" s="429">
        <f t="shared" si="5"/>
        <v>8108552.4322315436</v>
      </c>
      <c r="J84" s="429">
        <f>SUM($H$18:$H84)</f>
        <v>2519339.0478002466</v>
      </c>
    </row>
    <row r="85" spans="1:10" ht="15" customHeight="1" x14ac:dyDescent="0.15">
      <c r="A85" s="427">
        <v>68</v>
      </c>
      <c r="B85" s="428">
        <f t="shared" si="0"/>
        <v>44440</v>
      </c>
      <c r="C85" s="429">
        <f t="shared" si="8"/>
        <v>8108552.4322315436</v>
      </c>
      <c r="D85" s="429">
        <f t="shared" si="1"/>
        <v>63364.835008488124</v>
      </c>
      <c r="E85" s="430">
        <f t="shared" si="2"/>
        <v>0</v>
      </c>
      <c r="F85" s="429">
        <f t="shared" si="3"/>
        <v>63364.835008488124</v>
      </c>
      <c r="G85" s="429">
        <f t="shared" si="4"/>
        <v>29579.199874190024</v>
      </c>
      <c r="H85" s="429">
        <f t="shared" si="7"/>
        <v>33785.6351342981</v>
      </c>
      <c r="I85" s="429">
        <f t="shared" si="5"/>
        <v>8078973.2323573539</v>
      </c>
      <c r="J85" s="429">
        <f>SUM($H$18:$H85)</f>
        <v>2553124.6829345445</v>
      </c>
    </row>
    <row r="86" spans="1:10" ht="15" customHeight="1" x14ac:dyDescent="0.15">
      <c r="A86" s="427">
        <v>69</v>
      </c>
      <c r="B86" s="428">
        <f t="shared" si="0"/>
        <v>44470</v>
      </c>
      <c r="C86" s="429">
        <f t="shared" si="8"/>
        <v>8078973.2323573539</v>
      </c>
      <c r="D86" s="429">
        <f t="shared" si="1"/>
        <v>63364.835008488124</v>
      </c>
      <c r="E86" s="430">
        <f t="shared" si="2"/>
        <v>0</v>
      </c>
      <c r="F86" s="429">
        <f t="shared" si="3"/>
        <v>63364.835008488124</v>
      </c>
      <c r="G86" s="429">
        <f t="shared" si="4"/>
        <v>29702.446540332479</v>
      </c>
      <c r="H86" s="429">
        <f t="shared" si="7"/>
        <v>33662.388468155645</v>
      </c>
      <c r="I86" s="429">
        <f t="shared" si="5"/>
        <v>8049270.7858170215</v>
      </c>
      <c r="J86" s="429">
        <f>SUM($H$18:$H86)</f>
        <v>2586787.0714027002</v>
      </c>
    </row>
    <row r="87" spans="1:10" ht="15" customHeight="1" x14ac:dyDescent="0.15">
      <c r="A87" s="427">
        <v>70</v>
      </c>
      <c r="B87" s="428">
        <f t="shared" si="0"/>
        <v>44501</v>
      </c>
      <c r="C87" s="429">
        <f t="shared" si="8"/>
        <v>8049270.7858170215</v>
      </c>
      <c r="D87" s="429">
        <f t="shared" si="1"/>
        <v>63364.835008488124</v>
      </c>
      <c r="E87" s="430">
        <f t="shared" si="2"/>
        <v>0</v>
      </c>
      <c r="F87" s="429">
        <f t="shared" si="3"/>
        <v>63364.835008488124</v>
      </c>
      <c r="G87" s="429">
        <f t="shared" si="4"/>
        <v>29826.206734250532</v>
      </c>
      <c r="H87" s="429">
        <f t="shared" si="7"/>
        <v>33538.628274237592</v>
      </c>
      <c r="I87" s="429">
        <f t="shared" si="5"/>
        <v>8019444.5790827712</v>
      </c>
      <c r="J87" s="429">
        <f>SUM($H$18:$H87)</f>
        <v>2620325.6996769379</v>
      </c>
    </row>
    <row r="88" spans="1:10" ht="15" customHeight="1" x14ac:dyDescent="0.15">
      <c r="A88" s="427">
        <v>71</v>
      </c>
      <c r="B88" s="428">
        <f t="shared" si="0"/>
        <v>44531</v>
      </c>
      <c r="C88" s="429">
        <f t="shared" si="8"/>
        <v>8019444.5790827712</v>
      </c>
      <c r="D88" s="429">
        <f t="shared" si="1"/>
        <v>63364.835008488124</v>
      </c>
      <c r="E88" s="430">
        <f t="shared" si="2"/>
        <v>0</v>
      </c>
      <c r="F88" s="429">
        <f t="shared" si="3"/>
        <v>63364.835008488124</v>
      </c>
      <c r="G88" s="429">
        <f t="shared" si="4"/>
        <v>29950.48259564324</v>
      </c>
      <c r="H88" s="429">
        <f t="shared" si="7"/>
        <v>33414.352412844884</v>
      </c>
      <c r="I88" s="429">
        <f t="shared" si="5"/>
        <v>7989494.0964871282</v>
      </c>
      <c r="J88" s="429">
        <f>SUM($H$18:$H88)</f>
        <v>2653740.0520897829</v>
      </c>
    </row>
    <row r="89" spans="1:10" ht="15" customHeight="1" x14ac:dyDescent="0.15">
      <c r="A89" s="427">
        <v>72</v>
      </c>
      <c r="B89" s="428">
        <f t="shared" si="0"/>
        <v>44562</v>
      </c>
      <c r="C89" s="429">
        <f t="shared" si="8"/>
        <v>7989494.0964871282</v>
      </c>
      <c r="D89" s="429">
        <f t="shared" si="1"/>
        <v>63364.835008488124</v>
      </c>
      <c r="E89" s="430">
        <f t="shared" si="2"/>
        <v>0</v>
      </c>
      <c r="F89" s="429">
        <f t="shared" si="3"/>
        <v>63364.835008488124</v>
      </c>
      <c r="G89" s="429">
        <f t="shared" si="4"/>
        <v>30075.276273125091</v>
      </c>
      <c r="H89" s="429">
        <f t="shared" si="7"/>
        <v>33289.558735363033</v>
      </c>
      <c r="I89" s="429">
        <f t="shared" si="5"/>
        <v>7959418.8202140033</v>
      </c>
      <c r="J89" s="429">
        <f>SUM($H$18:$H89)</f>
        <v>2687029.6108251461</v>
      </c>
    </row>
    <row r="90" spans="1:10" ht="15" customHeight="1" x14ac:dyDescent="0.15">
      <c r="A90" s="427">
        <v>73</v>
      </c>
      <c r="B90" s="428">
        <f t="shared" si="0"/>
        <v>44593</v>
      </c>
      <c r="C90" s="429">
        <f t="shared" si="8"/>
        <v>7959418.8202140033</v>
      </c>
      <c r="D90" s="429">
        <f t="shared" si="1"/>
        <v>63364.835008488124</v>
      </c>
      <c r="E90" s="430">
        <f t="shared" si="2"/>
        <v>0</v>
      </c>
      <c r="F90" s="429">
        <f t="shared" si="3"/>
        <v>63364.835008488124</v>
      </c>
      <c r="G90" s="429">
        <f t="shared" si="4"/>
        <v>30200.589924263106</v>
      </c>
      <c r="H90" s="429">
        <f t="shared" si="7"/>
        <v>33164.245084225018</v>
      </c>
      <c r="I90" s="429">
        <f t="shared" si="5"/>
        <v>7929218.2302897405</v>
      </c>
      <c r="J90" s="429">
        <f>SUM($H$18:$H90)</f>
        <v>2720193.8559093713</v>
      </c>
    </row>
    <row r="91" spans="1:10" ht="15" customHeight="1" x14ac:dyDescent="0.15">
      <c r="A91" s="427">
        <v>74</v>
      </c>
      <c r="B91" s="428">
        <f t="shared" si="0"/>
        <v>44621</v>
      </c>
      <c r="C91" s="429">
        <f t="shared" si="8"/>
        <v>7929218.2302897405</v>
      </c>
      <c r="D91" s="429">
        <f t="shared" si="1"/>
        <v>63364.835008488124</v>
      </c>
      <c r="E91" s="430">
        <f t="shared" si="2"/>
        <v>0</v>
      </c>
      <c r="F91" s="429">
        <f t="shared" si="3"/>
        <v>63364.835008488124</v>
      </c>
      <c r="G91" s="429">
        <f t="shared" si="4"/>
        <v>30326.425715614205</v>
      </c>
      <c r="H91" s="429">
        <f t="shared" si="7"/>
        <v>33038.409292873919</v>
      </c>
      <c r="I91" s="429">
        <f t="shared" si="5"/>
        <v>7898891.8045741264</v>
      </c>
      <c r="J91" s="429">
        <f>SUM($H$18:$H91)</f>
        <v>2753232.2652022452</v>
      </c>
    </row>
    <row r="92" spans="1:10" ht="15" customHeight="1" x14ac:dyDescent="0.15">
      <c r="A92" s="427">
        <v>75</v>
      </c>
      <c r="B92" s="428">
        <f t="shared" si="0"/>
        <v>44652</v>
      </c>
      <c r="C92" s="429">
        <f t="shared" si="8"/>
        <v>7898891.8045741264</v>
      </c>
      <c r="D92" s="429">
        <f t="shared" si="1"/>
        <v>63364.835008488124</v>
      </c>
      <c r="E92" s="430">
        <f t="shared" si="2"/>
        <v>0</v>
      </c>
      <c r="F92" s="429">
        <f t="shared" si="3"/>
        <v>63364.835008488124</v>
      </c>
      <c r="G92" s="429">
        <f t="shared" si="4"/>
        <v>30452.785822762591</v>
      </c>
      <c r="H92" s="429">
        <f t="shared" si="7"/>
        <v>32912.049185725533</v>
      </c>
      <c r="I92" s="429">
        <f t="shared" si="5"/>
        <v>7868439.0187513642</v>
      </c>
      <c r="J92" s="429">
        <f>SUM($H$18:$H92)</f>
        <v>2786144.3143879706</v>
      </c>
    </row>
    <row r="93" spans="1:10" ht="15" customHeight="1" x14ac:dyDescent="0.15">
      <c r="A93" s="427">
        <v>76</v>
      </c>
      <c r="B93" s="428">
        <f t="shared" si="0"/>
        <v>44682</v>
      </c>
      <c r="C93" s="429">
        <f t="shared" si="8"/>
        <v>7868439.0187513642</v>
      </c>
      <c r="D93" s="429">
        <f t="shared" si="1"/>
        <v>63364.835008488124</v>
      </c>
      <c r="E93" s="430">
        <f t="shared" si="2"/>
        <v>0</v>
      </c>
      <c r="F93" s="429">
        <f t="shared" si="3"/>
        <v>63364.835008488124</v>
      </c>
      <c r="G93" s="429">
        <f t="shared" si="4"/>
        <v>30579.672430357437</v>
      </c>
      <c r="H93" s="429">
        <f t="shared" si="7"/>
        <v>32785.162578130687</v>
      </c>
      <c r="I93" s="429">
        <f t="shared" si="5"/>
        <v>7837859.3463210063</v>
      </c>
      <c r="J93" s="429">
        <f>SUM($H$18:$H93)</f>
        <v>2818929.4769661012</v>
      </c>
    </row>
    <row r="94" spans="1:10" ht="15" customHeight="1" x14ac:dyDescent="0.15">
      <c r="A94" s="427">
        <v>77</v>
      </c>
      <c r="B94" s="428">
        <f t="shared" si="0"/>
        <v>44713</v>
      </c>
      <c r="C94" s="429">
        <f t="shared" si="8"/>
        <v>7837859.3463210063</v>
      </c>
      <c r="D94" s="429">
        <f t="shared" si="1"/>
        <v>63364.835008488124</v>
      </c>
      <c r="E94" s="430">
        <f t="shared" si="2"/>
        <v>0</v>
      </c>
      <c r="F94" s="429">
        <f t="shared" si="3"/>
        <v>63364.835008488124</v>
      </c>
      <c r="G94" s="429">
        <f t="shared" si="4"/>
        <v>30707.087732150598</v>
      </c>
      <c r="H94" s="429">
        <f t="shared" si="7"/>
        <v>32657.747276337526</v>
      </c>
      <c r="I94" s="429">
        <f t="shared" si="5"/>
        <v>7807152.2585888561</v>
      </c>
      <c r="J94" s="429">
        <f>SUM($H$18:$H94)</f>
        <v>2851587.2242424386</v>
      </c>
    </row>
    <row r="95" spans="1:10" ht="15" customHeight="1" x14ac:dyDescent="0.15">
      <c r="A95" s="427">
        <v>78</v>
      </c>
      <c r="B95" s="428">
        <f t="shared" si="0"/>
        <v>44743</v>
      </c>
      <c r="C95" s="429">
        <f t="shared" si="8"/>
        <v>7807152.2585888561</v>
      </c>
      <c r="D95" s="429">
        <f t="shared" si="1"/>
        <v>63364.835008488124</v>
      </c>
      <c r="E95" s="430">
        <f t="shared" si="2"/>
        <v>0</v>
      </c>
      <c r="F95" s="429">
        <f t="shared" si="3"/>
        <v>63364.835008488124</v>
      </c>
      <c r="G95" s="429">
        <f t="shared" si="4"/>
        <v>30835.033931034555</v>
      </c>
      <c r="H95" s="429">
        <f t="shared" si="7"/>
        <v>32529.801077453569</v>
      </c>
      <c r="I95" s="429">
        <f t="shared" si="5"/>
        <v>7776317.2246578215</v>
      </c>
      <c r="J95" s="429">
        <f>SUM($H$18:$H95)</f>
        <v>2884117.025319892</v>
      </c>
    </row>
    <row r="96" spans="1:10" ht="15" customHeight="1" x14ac:dyDescent="0.15">
      <c r="A96" s="427">
        <v>79</v>
      </c>
      <c r="B96" s="428">
        <f t="shared" si="0"/>
        <v>44774</v>
      </c>
      <c r="C96" s="429">
        <f t="shared" si="8"/>
        <v>7776317.2246578215</v>
      </c>
      <c r="D96" s="429">
        <f t="shared" si="1"/>
        <v>63364.835008488124</v>
      </c>
      <c r="E96" s="430">
        <f t="shared" si="2"/>
        <v>0</v>
      </c>
      <c r="F96" s="429">
        <f t="shared" si="3"/>
        <v>63364.835008488124</v>
      </c>
      <c r="G96" s="429">
        <f t="shared" si="4"/>
        <v>30963.513239080534</v>
      </c>
      <c r="H96" s="429">
        <f t="shared" si="7"/>
        <v>32401.32176940759</v>
      </c>
      <c r="I96" s="429">
        <f t="shared" si="5"/>
        <v>7745353.7114187414</v>
      </c>
      <c r="J96" s="429">
        <f>SUM($H$18:$H96)</f>
        <v>2916518.3470892995</v>
      </c>
    </row>
    <row r="97" spans="1:10" ht="15" customHeight="1" x14ac:dyDescent="0.15">
      <c r="A97" s="427">
        <v>80</v>
      </c>
      <c r="B97" s="428">
        <f t="shared" si="0"/>
        <v>44805</v>
      </c>
      <c r="C97" s="429">
        <f t="shared" si="8"/>
        <v>7745353.7114187414</v>
      </c>
      <c r="D97" s="429">
        <f t="shared" si="1"/>
        <v>63364.835008488124</v>
      </c>
      <c r="E97" s="430">
        <f t="shared" si="2"/>
        <v>0</v>
      </c>
      <c r="F97" s="429">
        <f t="shared" si="3"/>
        <v>63364.835008488124</v>
      </c>
      <c r="G97" s="429">
        <f t="shared" si="4"/>
        <v>31092.527877576696</v>
      </c>
      <c r="H97" s="429">
        <f t="shared" si="7"/>
        <v>32272.307130911428</v>
      </c>
      <c r="I97" s="429">
        <f t="shared" si="5"/>
        <v>7714261.1835411647</v>
      </c>
      <c r="J97" s="429">
        <f>SUM($H$18:$H97)</f>
        <v>2948790.6542202109</v>
      </c>
    </row>
    <row r="98" spans="1:10" ht="15" customHeight="1" x14ac:dyDescent="0.15">
      <c r="A98" s="427">
        <v>81</v>
      </c>
      <c r="B98" s="428">
        <f t="shared" si="0"/>
        <v>44835</v>
      </c>
      <c r="C98" s="429">
        <f t="shared" si="8"/>
        <v>7714261.1835411647</v>
      </c>
      <c r="D98" s="429">
        <f t="shared" si="1"/>
        <v>63364.835008488124</v>
      </c>
      <c r="E98" s="430">
        <f t="shared" si="2"/>
        <v>0</v>
      </c>
      <c r="F98" s="429">
        <f t="shared" si="3"/>
        <v>63364.835008488124</v>
      </c>
      <c r="G98" s="429">
        <f t="shared" si="4"/>
        <v>31222.080077066599</v>
      </c>
      <c r="H98" s="429">
        <f t="shared" si="7"/>
        <v>32142.754931421525</v>
      </c>
      <c r="I98" s="429">
        <f t="shared" si="5"/>
        <v>7683039.1034640977</v>
      </c>
      <c r="J98" s="429">
        <f>SUM($H$18:$H98)</f>
        <v>2980933.4091516323</v>
      </c>
    </row>
    <row r="99" spans="1:10" ht="15" customHeight="1" x14ac:dyDescent="0.15">
      <c r="A99" s="427">
        <v>82</v>
      </c>
      <c r="B99" s="428">
        <f t="shared" si="0"/>
        <v>44866</v>
      </c>
      <c r="C99" s="429">
        <f t="shared" si="8"/>
        <v>7683039.1034640977</v>
      </c>
      <c r="D99" s="429">
        <f t="shared" si="1"/>
        <v>63364.835008488124</v>
      </c>
      <c r="E99" s="430">
        <f t="shared" si="2"/>
        <v>0</v>
      </c>
      <c r="F99" s="429">
        <f t="shared" si="3"/>
        <v>63364.835008488124</v>
      </c>
      <c r="G99" s="429">
        <f t="shared" si="4"/>
        <v>31352.172077387717</v>
      </c>
      <c r="H99" s="429">
        <f t="shared" si="7"/>
        <v>32012.662931100407</v>
      </c>
      <c r="I99" s="429">
        <f t="shared" si="5"/>
        <v>7651686.9313867101</v>
      </c>
      <c r="J99" s="429">
        <f>SUM($H$18:$H99)</f>
        <v>3012946.0720827328</v>
      </c>
    </row>
    <row r="100" spans="1:10" ht="15" customHeight="1" x14ac:dyDescent="0.15">
      <c r="A100" s="427">
        <v>83</v>
      </c>
      <c r="B100" s="428">
        <f t="shared" si="0"/>
        <v>44896</v>
      </c>
      <c r="C100" s="429">
        <f t="shared" si="8"/>
        <v>7651686.9313867101</v>
      </c>
      <c r="D100" s="429">
        <f t="shared" si="1"/>
        <v>63364.835008488124</v>
      </c>
      <c r="E100" s="430">
        <f t="shared" si="2"/>
        <v>0</v>
      </c>
      <c r="F100" s="429">
        <f t="shared" si="3"/>
        <v>63364.835008488124</v>
      </c>
      <c r="G100" s="429">
        <f t="shared" si="4"/>
        <v>31482.806127710162</v>
      </c>
      <c r="H100" s="429">
        <f t="shared" si="7"/>
        <v>31882.028880777962</v>
      </c>
      <c r="I100" s="429">
        <f t="shared" si="5"/>
        <v>7620204.1252589999</v>
      </c>
      <c r="J100" s="429">
        <f>SUM($H$18:$H100)</f>
        <v>3044828.1009635106</v>
      </c>
    </row>
    <row r="101" spans="1:10" ht="15" customHeight="1" x14ac:dyDescent="0.15">
      <c r="A101" s="427">
        <v>84</v>
      </c>
      <c r="B101" s="428">
        <f t="shared" si="0"/>
        <v>44927</v>
      </c>
      <c r="C101" s="429">
        <f t="shared" si="8"/>
        <v>7620204.1252589999</v>
      </c>
      <c r="D101" s="429">
        <f t="shared" si="1"/>
        <v>63364.835008488124</v>
      </c>
      <c r="E101" s="430">
        <f t="shared" si="2"/>
        <v>0</v>
      </c>
      <c r="F101" s="429">
        <f t="shared" si="3"/>
        <v>63364.835008488124</v>
      </c>
      <c r="G101" s="429">
        <f t="shared" si="4"/>
        <v>31613.98448657562</v>
      </c>
      <c r="H101" s="429">
        <f t="shared" si="7"/>
        <v>31750.850521912504</v>
      </c>
      <c r="I101" s="429">
        <f t="shared" si="5"/>
        <v>7588590.1407724246</v>
      </c>
      <c r="J101" s="429">
        <f>SUM($H$18:$H101)</f>
        <v>3076578.9514854229</v>
      </c>
    </row>
    <row r="102" spans="1:10" ht="15" customHeight="1" x14ac:dyDescent="0.15">
      <c r="A102" s="427">
        <v>85</v>
      </c>
      <c r="B102" s="428">
        <f t="shared" si="0"/>
        <v>44958</v>
      </c>
      <c r="C102" s="429">
        <f t="shared" si="8"/>
        <v>7588590.1407724246</v>
      </c>
      <c r="D102" s="429">
        <f t="shared" si="1"/>
        <v>63364.835008488124</v>
      </c>
      <c r="E102" s="430">
        <f t="shared" si="2"/>
        <v>0</v>
      </c>
      <c r="F102" s="429">
        <f t="shared" si="3"/>
        <v>63364.835008488124</v>
      </c>
      <c r="G102" s="429">
        <f t="shared" si="4"/>
        <v>31745.709421936353</v>
      </c>
      <c r="H102" s="429">
        <f t="shared" si="7"/>
        <v>31619.125586551771</v>
      </c>
      <c r="I102" s="429">
        <f t="shared" si="5"/>
        <v>7556844.4313504882</v>
      </c>
      <c r="J102" s="429">
        <f>SUM($H$18:$H102)</f>
        <v>3108198.0770719745</v>
      </c>
    </row>
    <row r="103" spans="1:10" ht="15" customHeight="1" x14ac:dyDescent="0.15">
      <c r="A103" s="427">
        <v>86</v>
      </c>
      <c r="B103" s="428">
        <f t="shared" si="0"/>
        <v>44986</v>
      </c>
      <c r="C103" s="429">
        <f t="shared" si="8"/>
        <v>7556844.4313504882</v>
      </c>
      <c r="D103" s="429">
        <f t="shared" si="1"/>
        <v>63364.835008488124</v>
      </c>
      <c r="E103" s="430">
        <f t="shared" si="2"/>
        <v>0</v>
      </c>
      <c r="F103" s="429">
        <f t="shared" si="3"/>
        <v>63364.835008488124</v>
      </c>
      <c r="G103" s="429">
        <f t="shared" si="4"/>
        <v>31877.983211194423</v>
      </c>
      <c r="H103" s="429">
        <f t="shared" si="7"/>
        <v>31486.851797293701</v>
      </c>
      <c r="I103" s="429">
        <f t="shared" si="5"/>
        <v>7524966.4481392941</v>
      </c>
      <c r="J103" s="429">
        <f>SUM($H$18:$H103)</f>
        <v>3139684.9288692684</v>
      </c>
    </row>
    <row r="104" spans="1:10" ht="15" customHeight="1" x14ac:dyDescent="0.15">
      <c r="A104" s="427">
        <v>87</v>
      </c>
      <c r="B104" s="428">
        <f t="shared" si="0"/>
        <v>45017</v>
      </c>
      <c r="C104" s="429">
        <f t="shared" si="8"/>
        <v>7524966.4481392941</v>
      </c>
      <c r="D104" s="429">
        <f t="shared" si="1"/>
        <v>63364.835008488124</v>
      </c>
      <c r="E104" s="430">
        <f t="shared" si="2"/>
        <v>0</v>
      </c>
      <c r="F104" s="429">
        <f t="shared" si="3"/>
        <v>63364.835008488124</v>
      </c>
      <c r="G104" s="429">
        <f t="shared" si="4"/>
        <v>32010.808141241065</v>
      </c>
      <c r="H104" s="429">
        <f t="shared" si="7"/>
        <v>31354.026867247059</v>
      </c>
      <c r="I104" s="429">
        <f t="shared" si="5"/>
        <v>7492955.6399980532</v>
      </c>
      <c r="J104" s="429">
        <f>SUM($H$18:$H104)</f>
        <v>3171038.9557365156</v>
      </c>
    </row>
    <row r="105" spans="1:10" ht="15" customHeight="1" x14ac:dyDescent="0.15">
      <c r="A105" s="427">
        <v>88</v>
      </c>
      <c r="B105" s="428">
        <f t="shared" si="0"/>
        <v>45047</v>
      </c>
      <c r="C105" s="429">
        <f t="shared" si="8"/>
        <v>7492955.6399980532</v>
      </c>
      <c r="D105" s="429">
        <f t="shared" si="1"/>
        <v>63364.835008488124</v>
      </c>
      <c r="E105" s="430">
        <f t="shared" si="2"/>
        <v>0</v>
      </c>
      <c r="F105" s="429">
        <f t="shared" si="3"/>
        <v>63364.835008488124</v>
      </c>
      <c r="G105" s="429">
        <f t="shared" si="4"/>
        <v>32144.186508496234</v>
      </c>
      <c r="H105" s="429">
        <f t="shared" si="7"/>
        <v>31220.64849999189</v>
      </c>
      <c r="I105" s="429">
        <f t="shared" si="5"/>
        <v>7460811.4534895569</v>
      </c>
      <c r="J105" s="429">
        <f>SUM($H$18:$H105)</f>
        <v>3202259.6042365073</v>
      </c>
    </row>
    <row r="106" spans="1:10" ht="15" customHeight="1" x14ac:dyDescent="0.15">
      <c r="A106" s="427">
        <v>89</v>
      </c>
      <c r="B106" s="428">
        <f t="shared" si="0"/>
        <v>45078</v>
      </c>
      <c r="C106" s="429">
        <f t="shared" si="8"/>
        <v>7460811.4534895569</v>
      </c>
      <c r="D106" s="429">
        <f t="shared" si="1"/>
        <v>63364.835008488124</v>
      </c>
      <c r="E106" s="430">
        <f t="shared" si="2"/>
        <v>0</v>
      </c>
      <c r="F106" s="429">
        <f t="shared" si="3"/>
        <v>63364.835008488124</v>
      </c>
      <c r="G106" s="429">
        <f t="shared" si="4"/>
        <v>32278.120618948302</v>
      </c>
      <c r="H106" s="429">
        <f t="shared" si="7"/>
        <v>31086.714389539822</v>
      </c>
      <c r="I106" s="429">
        <f t="shared" si="5"/>
        <v>7428533.3328706082</v>
      </c>
      <c r="J106" s="429">
        <f>SUM($H$18:$H106)</f>
        <v>3233346.3186260471</v>
      </c>
    </row>
    <row r="107" spans="1:10" ht="15" customHeight="1" x14ac:dyDescent="0.15">
      <c r="A107" s="427">
        <v>90</v>
      </c>
      <c r="B107" s="428">
        <f t="shared" si="0"/>
        <v>45108</v>
      </c>
      <c r="C107" s="429">
        <f t="shared" si="8"/>
        <v>7428533.3328706082</v>
      </c>
      <c r="D107" s="429">
        <f t="shared" si="1"/>
        <v>63364.835008488124</v>
      </c>
      <c r="E107" s="430">
        <f t="shared" si="2"/>
        <v>0</v>
      </c>
      <c r="F107" s="429">
        <f t="shared" si="3"/>
        <v>63364.835008488124</v>
      </c>
      <c r="G107" s="429">
        <f t="shared" si="4"/>
        <v>32412.612788193921</v>
      </c>
      <c r="H107" s="429">
        <f t="shared" si="7"/>
        <v>30952.222220294203</v>
      </c>
      <c r="I107" s="429">
        <f t="shared" si="5"/>
        <v>7396120.7200824143</v>
      </c>
      <c r="J107" s="429">
        <f>SUM($H$18:$H107)</f>
        <v>3264298.5408463413</v>
      </c>
    </row>
    <row r="108" spans="1:10" ht="15" customHeight="1" x14ac:dyDescent="0.15">
      <c r="A108" s="427">
        <v>91</v>
      </c>
      <c r="B108" s="428">
        <f t="shared" si="0"/>
        <v>45139</v>
      </c>
      <c r="C108" s="429">
        <f t="shared" si="8"/>
        <v>7396120.7200824143</v>
      </c>
      <c r="D108" s="429">
        <f t="shared" si="1"/>
        <v>63364.835008488124</v>
      </c>
      <c r="E108" s="430">
        <f t="shared" si="2"/>
        <v>0</v>
      </c>
      <c r="F108" s="429">
        <f t="shared" si="3"/>
        <v>63364.835008488124</v>
      </c>
      <c r="G108" s="429">
        <f t="shared" si="4"/>
        <v>32547.665341478063</v>
      </c>
      <c r="H108" s="429">
        <f t="shared" si="7"/>
        <v>30817.169667010061</v>
      </c>
      <c r="I108" s="429">
        <f t="shared" si="5"/>
        <v>7363573.0547409365</v>
      </c>
      <c r="J108" s="429">
        <f>SUM($H$18:$H108)</f>
        <v>3295115.7105133515</v>
      </c>
    </row>
    <row r="109" spans="1:10" ht="15" customHeight="1" x14ac:dyDescent="0.15">
      <c r="A109" s="427">
        <v>92</v>
      </c>
      <c r="B109" s="428">
        <f t="shared" si="0"/>
        <v>45170</v>
      </c>
      <c r="C109" s="429">
        <f t="shared" si="8"/>
        <v>7363573.0547409365</v>
      </c>
      <c r="D109" s="429">
        <f t="shared" si="1"/>
        <v>63364.835008488124</v>
      </c>
      <c r="E109" s="430">
        <f t="shared" si="2"/>
        <v>0</v>
      </c>
      <c r="F109" s="429">
        <f t="shared" si="3"/>
        <v>63364.835008488124</v>
      </c>
      <c r="G109" s="429">
        <f t="shared" si="4"/>
        <v>32683.280613734223</v>
      </c>
      <c r="H109" s="429">
        <f t="shared" si="7"/>
        <v>30681.554394753901</v>
      </c>
      <c r="I109" s="429">
        <f t="shared" si="5"/>
        <v>7330889.7741272021</v>
      </c>
      <c r="J109" s="429">
        <f>SUM($H$18:$H109)</f>
        <v>3325797.2649081056</v>
      </c>
    </row>
    <row r="110" spans="1:10" ht="15" customHeight="1" x14ac:dyDescent="0.15">
      <c r="A110" s="427">
        <v>93</v>
      </c>
      <c r="B110" s="428">
        <f t="shared" si="0"/>
        <v>45200</v>
      </c>
      <c r="C110" s="429">
        <f t="shared" si="8"/>
        <v>7330889.7741272021</v>
      </c>
      <c r="D110" s="429">
        <f t="shared" si="1"/>
        <v>63364.835008488124</v>
      </c>
      <c r="E110" s="430">
        <f t="shared" si="2"/>
        <v>0</v>
      </c>
      <c r="F110" s="429">
        <f t="shared" si="3"/>
        <v>63364.835008488124</v>
      </c>
      <c r="G110" s="429">
        <f t="shared" si="4"/>
        <v>32819.460949624787</v>
      </c>
      <c r="H110" s="429">
        <f t="shared" si="7"/>
        <v>30545.374058863341</v>
      </c>
      <c r="I110" s="429">
        <f t="shared" si="5"/>
        <v>7298070.3131775772</v>
      </c>
      <c r="J110" s="429">
        <f>SUM($H$18:$H110)</f>
        <v>3356342.6389669687</v>
      </c>
    </row>
    <row r="111" spans="1:10" ht="15" customHeight="1" x14ac:dyDescent="0.15">
      <c r="A111" s="427">
        <v>94</v>
      </c>
      <c r="B111" s="428">
        <f t="shared" si="0"/>
        <v>45231</v>
      </c>
      <c r="C111" s="429">
        <f t="shared" si="8"/>
        <v>7298070.3131775772</v>
      </c>
      <c r="D111" s="429">
        <f t="shared" si="1"/>
        <v>63364.835008488124</v>
      </c>
      <c r="E111" s="430">
        <f t="shared" si="2"/>
        <v>0</v>
      </c>
      <c r="F111" s="429">
        <f t="shared" si="3"/>
        <v>63364.835008488124</v>
      </c>
      <c r="G111" s="429">
        <f t="shared" si="4"/>
        <v>32956.208703581549</v>
      </c>
      <c r="H111" s="429">
        <f t="shared" si="7"/>
        <v>30408.626304906575</v>
      </c>
      <c r="I111" s="429">
        <f t="shared" si="5"/>
        <v>7265114.104473996</v>
      </c>
      <c r="J111" s="429">
        <f>SUM($H$18:$H111)</f>
        <v>3386751.2652718755</v>
      </c>
    </row>
    <row r="112" spans="1:10" ht="15" customHeight="1" x14ac:dyDescent="0.15">
      <c r="A112" s="427">
        <v>95</v>
      </c>
      <c r="B112" s="428">
        <f t="shared" si="0"/>
        <v>45261</v>
      </c>
      <c r="C112" s="429">
        <f t="shared" si="8"/>
        <v>7265114.104473996</v>
      </c>
      <c r="D112" s="429">
        <f t="shared" si="1"/>
        <v>63364.835008488124</v>
      </c>
      <c r="E112" s="430">
        <f t="shared" si="2"/>
        <v>0</v>
      </c>
      <c r="F112" s="429">
        <f t="shared" si="3"/>
        <v>63364.835008488124</v>
      </c>
      <c r="G112" s="429">
        <f t="shared" si="4"/>
        <v>33093.526239846469</v>
      </c>
      <c r="H112" s="429">
        <f t="shared" si="7"/>
        <v>30271.308768641651</v>
      </c>
      <c r="I112" s="429">
        <f t="shared" si="5"/>
        <v>7232020.5782341491</v>
      </c>
      <c r="J112" s="429">
        <f>SUM($H$18:$H112)</f>
        <v>3417022.5740405172</v>
      </c>
    </row>
    <row r="113" spans="1:10" ht="15" customHeight="1" x14ac:dyDescent="0.15">
      <c r="A113" s="427">
        <v>96</v>
      </c>
      <c r="B113" s="428">
        <f t="shared" si="0"/>
        <v>45292</v>
      </c>
      <c r="C113" s="429">
        <f t="shared" si="8"/>
        <v>7232020.5782341491</v>
      </c>
      <c r="D113" s="429">
        <f t="shared" si="1"/>
        <v>63364.835008488124</v>
      </c>
      <c r="E113" s="430">
        <f t="shared" si="2"/>
        <v>0</v>
      </c>
      <c r="F113" s="429">
        <f t="shared" si="3"/>
        <v>63364.835008488124</v>
      </c>
      <c r="G113" s="429">
        <f t="shared" si="4"/>
        <v>33231.415932512507</v>
      </c>
      <c r="H113" s="429">
        <f t="shared" si="7"/>
        <v>30133.41907597562</v>
      </c>
      <c r="I113" s="429">
        <f t="shared" si="5"/>
        <v>7198789.1623016363</v>
      </c>
      <c r="J113" s="429">
        <f>SUM($H$18:$H113)</f>
        <v>3447155.9931164929</v>
      </c>
    </row>
    <row r="114" spans="1:10" ht="15" customHeight="1" x14ac:dyDescent="0.15">
      <c r="A114" s="427">
        <v>97</v>
      </c>
      <c r="B114" s="428">
        <f t="shared" si="0"/>
        <v>45323</v>
      </c>
      <c r="C114" s="429">
        <f t="shared" si="8"/>
        <v>7198789.1623016363</v>
      </c>
      <c r="D114" s="429">
        <f t="shared" si="1"/>
        <v>63364.835008488124</v>
      </c>
      <c r="E114" s="430">
        <f t="shared" si="2"/>
        <v>0</v>
      </c>
      <c r="F114" s="429">
        <f t="shared" si="3"/>
        <v>63364.835008488124</v>
      </c>
      <c r="G114" s="429">
        <f t="shared" si="4"/>
        <v>33369.880165564638</v>
      </c>
      <c r="H114" s="429">
        <f t="shared" si="7"/>
        <v>29994.954842923486</v>
      </c>
      <c r="I114" s="429">
        <f t="shared" si="5"/>
        <v>7165419.2821360715</v>
      </c>
      <c r="J114" s="429">
        <f>SUM($H$18:$H114)</f>
        <v>3477150.9479594165</v>
      </c>
    </row>
    <row r="115" spans="1:10" ht="15" customHeight="1" x14ac:dyDescent="0.15">
      <c r="A115" s="427">
        <v>98</v>
      </c>
      <c r="B115" s="428">
        <f t="shared" si="0"/>
        <v>45352</v>
      </c>
      <c r="C115" s="429">
        <f t="shared" si="8"/>
        <v>7165419.2821360715</v>
      </c>
      <c r="D115" s="429">
        <f t="shared" si="1"/>
        <v>63364.835008488124</v>
      </c>
      <c r="E115" s="430">
        <f t="shared" si="2"/>
        <v>0</v>
      </c>
      <c r="F115" s="429">
        <f t="shared" si="3"/>
        <v>63364.835008488124</v>
      </c>
      <c r="G115" s="429">
        <f t="shared" si="4"/>
        <v>33508.921332921163</v>
      </c>
      <c r="H115" s="429">
        <f t="shared" si="7"/>
        <v>29855.913675566964</v>
      </c>
      <c r="I115" s="429">
        <f t="shared" si="5"/>
        <v>7131910.3608031506</v>
      </c>
      <c r="J115" s="429">
        <f>SUM($H$18:$H115)</f>
        <v>3507006.8616349837</v>
      </c>
    </row>
    <row r="116" spans="1:10" ht="15" customHeight="1" x14ac:dyDescent="0.15">
      <c r="A116" s="427">
        <v>99</v>
      </c>
      <c r="B116" s="428">
        <f t="shared" si="0"/>
        <v>45383</v>
      </c>
      <c r="C116" s="429">
        <f t="shared" si="8"/>
        <v>7131910.3608031506</v>
      </c>
      <c r="D116" s="429">
        <f t="shared" si="1"/>
        <v>63364.835008488124</v>
      </c>
      <c r="E116" s="430">
        <f t="shared" si="2"/>
        <v>0</v>
      </c>
      <c r="F116" s="429">
        <f t="shared" si="3"/>
        <v>63364.835008488124</v>
      </c>
      <c r="G116" s="429">
        <f t="shared" si="4"/>
        <v>33648.541838474994</v>
      </c>
      <c r="H116" s="429">
        <f t="shared" si="7"/>
        <v>29716.29317001313</v>
      </c>
      <c r="I116" s="429">
        <f t="shared" si="5"/>
        <v>7098261.818964676</v>
      </c>
      <c r="J116" s="429">
        <f>SUM($H$18:$H116)</f>
        <v>3536723.1548049967</v>
      </c>
    </row>
    <row r="117" spans="1:10" ht="15" customHeight="1" x14ac:dyDescent="0.15">
      <c r="A117" s="427">
        <v>100</v>
      </c>
      <c r="B117" s="428">
        <f t="shared" si="0"/>
        <v>45413</v>
      </c>
      <c r="C117" s="429">
        <f t="shared" si="8"/>
        <v>7098261.818964676</v>
      </c>
      <c r="D117" s="429">
        <f t="shared" si="1"/>
        <v>63364.835008488124</v>
      </c>
      <c r="E117" s="430">
        <f t="shared" si="2"/>
        <v>0</v>
      </c>
      <c r="F117" s="429">
        <f t="shared" si="3"/>
        <v>63364.835008488124</v>
      </c>
      <c r="G117" s="429">
        <f t="shared" si="4"/>
        <v>33788.744096135299</v>
      </c>
      <c r="H117" s="429">
        <f t="shared" si="7"/>
        <v>29576.090912352822</v>
      </c>
      <c r="I117" s="429">
        <f t="shared" si="5"/>
        <v>7064473.0748685403</v>
      </c>
      <c r="J117" s="429">
        <f>SUM($H$18:$H117)</f>
        <v>3566299.2457173495</v>
      </c>
    </row>
    <row r="118" spans="1:10" ht="15" customHeight="1" x14ac:dyDescent="0.15">
      <c r="A118" s="427">
        <v>101</v>
      </c>
      <c r="B118" s="428">
        <f t="shared" si="0"/>
        <v>45444</v>
      </c>
      <c r="C118" s="429">
        <f t="shared" si="8"/>
        <v>7064473.0748685403</v>
      </c>
      <c r="D118" s="429">
        <f t="shared" si="1"/>
        <v>63364.835008488124</v>
      </c>
      <c r="E118" s="430">
        <f t="shared" si="2"/>
        <v>0</v>
      </c>
      <c r="F118" s="429">
        <f t="shared" si="3"/>
        <v>63364.835008488124</v>
      </c>
      <c r="G118" s="429">
        <f t="shared" si="4"/>
        <v>33929.530529869211</v>
      </c>
      <c r="H118" s="429">
        <f t="shared" si="7"/>
        <v>29435.304478618917</v>
      </c>
      <c r="I118" s="429">
        <f t="shared" si="5"/>
        <v>7030543.5443386715</v>
      </c>
      <c r="J118" s="429">
        <f>SUM($H$18:$H118)</f>
        <v>3595734.5501959682</v>
      </c>
    </row>
    <row r="119" spans="1:10" ht="15" customHeight="1" x14ac:dyDescent="0.15">
      <c r="A119" s="427">
        <v>102</v>
      </c>
      <c r="B119" s="428">
        <f t="shared" si="0"/>
        <v>45474</v>
      </c>
      <c r="C119" s="429">
        <f t="shared" si="8"/>
        <v>7030543.5443386715</v>
      </c>
      <c r="D119" s="429">
        <f t="shared" si="1"/>
        <v>63364.835008488124</v>
      </c>
      <c r="E119" s="430">
        <f t="shared" si="2"/>
        <v>0</v>
      </c>
      <c r="F119" s="429">
        <f t="shared" si="3"/>
        <v>63364.835008488124</v>
      </c>
      <c r="G119" s="429">
        <f t="shared" si="4"/>
        <v>34070.903573743664</v>
      </c>
      <c r="H119" s="429">
        <f t="shared" si="7"/>
        <v>29293.931434744463</v>
      </c>
      <c r="I119" s="429">
        <f t="shared" si="5"/>
        <v>6996472.6407649275</v>
      </c>
      <c r="J119" s="429">
        <f>SUM($H$18:$H119)</f>
        <v>3625028.4816307127</v>
      </c>
    </row>
    <row r="120" spans="1:10" ht="15" customHeight="1" x14ac:dyDescent="0.15">
      <c r="A120" s="427">
        <v>103</v>
      </c>
      <c r="B120" s="428">
        <f t="shared" si="0"/>
        <v>45505</v>
      </c>
      <c r="C120" s="429">
        <f t="shared" si="8"/>
        <v>6996472.6407649275</v>
      </c>
      <c r="D120" s="429">
        <f t="shared" si="1"/>
        <v>63364.835008488124</v>
      </c>
      <c r="E120" s="430">
        <f t="shared" si="2"/>
        <v>0</v>
      </c>
      <c r="F120" s="429">
        <f t="shared" si="3"/>
        <v>63364.835008488124</v>
      </c>
      <c r="G120" s="429">
        <f t="shared" si="4"/>
        <v>34212.865671967593</v>
      </c>
      <c r="H120" s="429">
        <f t="shared" si="7"/>
        <v>29151.969336520531</v>
      </c>
      <c r="I120" s="429">
        <f t="shared" si="5"/>
        <v>6962259.7750929603</v>
      </c>
      <c r="J120" s="429">
        <f>SUM($H$18:$H120)</f>
        <v>3654180.4509672332</v>
      </c>
    </row>
    <row r="121" spans="1:10" ht="15" customHeight="1" x14ac:dyDescent="0.15">
      <c r="A121" s="427">
        <v>104</v>
      </c>
      <c r="B121" s="428">
        <f t="shared" si="0"/>
        <v>45536</v>
      </c>
      <c r="C121" s="429">
        <f t="shared" si="8"/>
        <v>6962259.7750929603</v>
      </c>
      <c r="D121" s="429">
        <f t="shared" si="1"/>
        <v>63364.835008488124</v>
      </c>
      <c r="E121" s="430">
        <f t="shared" si="2"/>
        <v>0</v>
      </c>
      <c r="F121" s="429">
        <f t="shared" si="3"/>
        <v>63364.835008488124</v>
      </c>
      <c r="G121" s="429">
        <f t="shared" si="4"/>
        <v>34355.419278934118</v>
      </c>
      <c r="H121" s="429">
        <f t="shared" si="7"/>
        <v>29009.415729554003</v>
      </c>
      <c r="I121" s="429">
        <f t="shared" si="5"/>
        <v>6927904.3558140267</v>
      </c>
      <c r="J121" s="429">
        <f>SUM($H$18:$H121)</f>
        <v>3683189.8666967871</v>
      </c>
    </row>
    <row r="122" spans="1:10" ht="15" customHeight="1" x14ac:dyDescent="0.15">
      <c r="A122" s="427">
        <v>105</v>
      </c>
      <c r="B122" s="428">
        <f t="shared" si="0"/>
        <v>45566</v>
      </c>
      <c r="C122" s="429">
        <f t="shared" si="8"/>
        <v>6927904.3558140267</v>
      </c>
      <c r="D122" s="429">
        <f t="shared" si="1"/>
        <v>63364.835008488124</v>
      </c>
      <c r="E122" s="430">
        <f t="shared" si="2"/>
        <v>0</v>
      </c>
      <c r="F122" s="429">
        <f t="shared" si="3"/>
        <v>63364.835008488124</v>
      </c>
      <c r="G122" s="429">
        <f t="shared" si="4"/>
        <v>34498.56685926301</v>
      </c>
      <c r="H122" s="429">
        <f t="shared" si="7"/>
        <v>28866.268149225114</v>
      </c>
      <c r="I122" s="429">
        <f t="shared" si="5"/>
        <v>6893405.7889547637</v>
      </c>
      <c r="J122" s="429">
        <f>SUM($H$18:$H122)</f>
        <v>3712056.1348460121</v>
      </c>
    </row>
    <row r="123" spans="1:10" ht="15" customHeight="1" x14ac:dyDescent="0.15">
      <c r="A123" s="427">
        <v>106</v>
      </c>
      <c r="B123" s="428">
        <f t="shared" si="0"/>
        <v>45597</v>
      </c>
      <c r="C123" s="429">
        <f t="shared" si="8"/>
        <v>6893405.7889547637</v>
      </c>
      <c r="D123" s="429">
        <f t="shared" si="1"/>
        <v>63364.835008488124</v>
      </c>
      <c r="E123" s="430">
        <f t="shared" si="2"/>
        <v>0</v>
      </c>
      <c r="F123" s="429">
        <f t="shared" si="3"/>
        <v>63364.835008488124</v>
      </c>
      <c r="G123" s="429">
        <f t="shared" si="4"/>
        <v>34642.310887843269</v>
      </c>
      <c r="H123" s="429">
        <f t="shared" si="7"/>
        <v>28722.524120644852</v>
      </c>
      <c r="I123" s="429">
        <f t="shared" si="5"/>
        <v>6858763.4780669203</v>
      </c>
      <c r="J123" s="429">
        <f>SUM($H$18:$H123)</f>
        <v>3740778.6589666568</v>
      </c>
    </row>
    <row r="124" spans="1:10" ht="15" customHeight="1" x14ac:dyDescent="0.15">
      <c r="A124" s="427">
        <v>107</v>
      </c>
      <c r="B124" s="428">
        <f t="shared" si="0"/>
        <v>45627</v>
      </c>
      <c r="C124" s="429">
        <f t="shared" si="8"/>
        <v>6858763.4780669203</v>
      </c>
      <c r="D124" s="429">
        <f t="shared" si="1"/>
        <v>63364.835008488124</v>
      </c>
      <c r="E124" s="430">
        <f t="shared" si="2"/>
        <v>0</v>
      </c>
      <c r="F124" s="429">
        <f t="shared" si="3"/>
        <v>63364.835008488124</v>
      </c>
      <c r="G124" s="429">
        <f t="shared" si="4"/>
        <v>34786.653849875947</v>
      </c>
      <c r="H124" s="429">
        <f t="shared" si="7"/>
        <v>28578.181158612173</v>
      </c>
      <c r="I124" s="429">
        <f t="shared" si="5"/>
        <v>6823976.8242170447</v>
      </c>
      <c r="J124" s="429">
        <f>SUM($H$18:$H124)</f>
        <v>3769356.8401252688</v>
      </c>
    </row>
    <row r="125" spans="1:10" ht="15" customHeight="1" x14ac:dyDescent="0.15">
      <c r="A125" s="427">
        <v>108</v>
      </c>
      <c r="B125" s="428">
        <f t="shared" si="0"/>
        <v>45658</v>
      </c>
      <c r="C125" s="429">
        <f t="shared" si="8"/>
        <v>6823976.8242170447</v>
      </c>
      <c r="D125" s="429">
        <f t="shared" si="1"/>
        <v>63364.835008488124</v>
      </c>
      <c r="E125" s="430">
        <f t="shared" si="2"/>
        <v>0</v>
      </c>
      <c r="F125" s="429">
        <f t="shared" si="3"/>
        <v>63364.835008488124</v>
      </c>
      <c r="G125" s="429">
        <f t="shared" si="4"/>
        <v>34931.598240917097</v>
      </c>
      <c r="H125" s="429">
        <f t="shared" si="7"/>
        <v>28433.236767571023</v>
      </c>
      <c r="I125" s="429">
        <f t="shared" si="5"/>
        <v>6789045.2259761272</v>
      </c>
      <c r="J125" s="429">
        <f>SUM($H$18:$H125)</f>
        <v>3797790.0768928397</v>
      </c>
    </row>
    <row r="126" spans="1:10" ht="15" customHeight="1" x14ac:dyDescent="0.15">
      <c r="A126" s="427">
        <v>109</v>
      </c>
      <c r="B126" s="428">
        <f t="shared" si="0"/>
        <v>45689</v>
      </c>
      <c r="C126" s="429">
        <f t="shared" si="8"/>
        <v>6789045.2259761272</v>
      </c>
      <c r="D126" s="429">
        <f t="shared" si="1"/>
        <v>63364.835008488124</v>
      </c>
      <c r="E126" s="430">
        <f t="shared" si="2"/>
        <v>0</v>
      </c>
      <c r="F126" s="429">
        <f t="shared" si="3"/>
        <v>63364.835008488124</v>
      </c>
      <c r="G126" s="429">
        <f t="shared" si="4"/>
        <v>35077.146566920928</v>
      </c>
      <c r="H126" s="429">
        <f t="shared" si="7"/>
        <v>28287.688441567199</v>
      </c>
      <c r="I126" s="429">
        <f t="shared" si="5"/>
        <v>6753968.0794092063</v>
      </c>
      <c r="J126" s="429">
        <f>SUM($H$18:$H126)</f>
        <v>3826077.7653344069</v>
      </c>
    </row>
    <row r="127" spans="1:10" ht="15" customHeight="1" x14ac:dyDescent="0.15">
      <c r="A127" s="427">
        <v>110</v>
      </c>
      <c r="B127" s="428">
        <f t="shared" si="0"/>
        <v>45717</v>
      </c>
      <c r="C127" s="429">
        <f t="shared" si="8"/>
        <v>6753968.0794092063</v>
      </c>
      <c r="D127" s="429">
        <f t="shared" si="1"/>
        <v>63364.835008488124</v>
      </c>
      <c r="E127" s="430">
        <f t="shared" si="2"/>
        <v>0</v>
      </c>
      <c r="F127" s="429">
        <f t="shared" si="3"/>
        <v>63364.835008488124</v>
      </c>
      <c r="G127" s="429">
        <f t="shared" si="4"/>
        <v>35223.3013442831</v>
      </c>
      <c r="H127" s="429">
        <f t="shared" si="7"/>
        <v>28141.533664205028</v>
      </c>
      <c r="I127" s="429">
        <f t="shared" si="5"/>
        <v>6718744.7780649234</v>
      </c>
      <c r="J127" s="429">
        <f>SUM($H$18:$H127)</f>
        <v>3854219.298998612</v>
      </c>
    </row>
    <row r="128" spans="1:10" ht="15" customHeight="1" x14ac:dyDescent="0.15">
      <c r="A128" s="427">
        <v>111</v>
      </c>
      <c r="B128" s="428">
        <f t="shared" si="0"/>
        <v>45748</v>
      </c>
      <c r="C128" s="429">
        <f t="shared" si="8"/>
        <v>6718744.7780649234</v>
      </c>
      <c r="D128" s="429">
        <f t="shared" si="1"/>
        <v>63364.835008488124</v>
      </c>
      <c r="E128" s="430">
        <f t="shared" si="2"/>
        <v>0</v>
      </c>
      <c r="F128" s="429">
        <f t="shared" si="3"/>
        <v>63364.835008488124</v>
      </c>
      <c r="G128" s="429">
        <f t="shared" si="4"/>
        <v>35370.065099884276</v>
      </c>
      <c r="H128" s="429">
        <f t="shared" si="7"/>
        <v>27994.769908603848</v>
      </c>
      <c r="I128" s="429">
        <f t="shared" si="5"/>
        <v>6683374.7129650395</v>
      </c>
      <c r="J128" s="429">
        <f>SUM($H$18:$H128)</f>
        <v>3882214.0689072157</v>
      </c>
    </row>
    <row r="129" spans="1:10" ht="15" customHeight="1" x14ac:dyDescent="0.15">
      <c r="A129" s="427">
        <v>112</v>
      </c>
      <c r="B129" s="428">
        <f t="shared" si="0"/>
        <v>45778</v>
      </c>
      <c r="C129" s="429">
        <f t="shared" si="8"/>
        <v>6683374.7129650395</v>
      </c>
      <c r="D129" s="429">
        <f t="shared" si="1"/>
        <v>63364.835008488124</v>
      </c>
      <c r="E129" s="430">
        <f t="shared" si="2"/>
        <v>0</v>
      </c>
      <c r="F129" s="429">
        <f t="shared" si="3"/>
        <v>63364.835008488124</v>
      </c>
      <c r="G129" s="429">
        <f t="shared" si="4"/>
        <v>35517.440371133795</v>
      </c>
      <c r="H129" s="429">
        <f t="shared" si="7"/>
        <v>27847.394637354333</v>
      </c>
      <c r="I129" s="429">
        <f t="shared" si="5"/>
        <v>6647857.2725939061</v>
      </c>
      <c r="J129" s="429">
        <f>SUM($H$18:$H129)</f>
        <v>3910061.4635445699</v>
      </c>
    </row>
    <row r="130" spans="1:10" ht="15" customHeight="1" x14ac:dyDescent="0.15">
      <c r="A130" s="427">
        <v>113</v>
      </c>
      <c r="B130" s="428">
        <f t="shared" si="0"/>
        <v>45809</v>
      </c>
      <c r="C130" s="429">
        <f t="shared" si="8"/>
        <v>6647857.2725939061</v>
      </c>
      <c r="D130" s="429">
        <f t="shared" si="1"/>
        <v>63364.835008488124</v>
      </c>
      <c r="E130" s="430">
        <f t="shared" si="2"/>
        <v>0</v>
      </c>
      <c r="F130" s="429">
        <f t="shared" si="3"/>
        <v>63364.835008488124</v>
      </c>
      <c r="G130" s="429">
        <f t="shared" si="4"/>
        <v>35665.429706013514</v>
      </c>
      <c r="H130" s="429">
        <f t="shared" si="7"/>
        <v>27699.40530247461</v>
      </c>
      <c r="I130" s="429">
        <f t="shared" si="5"/>
        <v>6612191.8428878924</v>
      </c>
      <c r="J130" s="429">
        <f>SUM($H$18:$H130)</f>
        <v>3937760.8688470447</v>
      </c>
    </row>
    <row r="131" spans="1:10" ht="15" customHeight="1" x14ac:dyDescent="0.15">
      <c r="A131" s="427">
        <v>114</v>
      </c>
      <c r="B131" s="428">
        <f t="shared" si="0"/>
        <v>45839</v>
      </c>
      <c r="C131" s="429">
        <f t="shared" si="8"/>
        <v>6612191.8428878924</v>
      </c>
      <c r="D131" s="429">
        <f t="shared" si="1"/>
        <v>63364.835008488124</v>
      </c>
      <c r="E131" s="430">
        <f t="shared" si="2"/>
        <v>0</v>
      </c>
      <c r="F131" s="429">
        <f t="shared" si="3"/>
        <v>63364.835008488124</v>
      </c>
      <c r="G131" s="429">
        <f t="shared" si="4"/>
        <v>35814.035663121904</v>
      </c>
      <c r="H131" s="429">
        <f t="shared" si="7"/>
        <v>27550.79934536622</v>
      </c>
      <c r="I131" s="429">
        <f t="shared" si="5"/>
        <v>6576377.8072247701</v>
      </c>
      <c r="J131" s="429">
        <f>SUM($H$18:$H131)</f>
        <v>3965311.6681924108</v>
      </c>
    </row>
    <row r="132" spans="1:10" ht="15" customHeight="1" x14ac:dyDescent="0.15">
      <c r="A132" s="427">
        <v>115</v>
      </c>
      <c r="B132" s="428">
        <f t="shared" si="0"/>
        <v>45870</v>
      </c>
      <c r="C132" s="429">
        <f t="shared" si="8"/>
        <v>6576377.8072247701</v>
      </c>
      <c r="D132" s="429">
        <f t="shared" si="1"/>
        <v>63364.835008488124</v>
      </c>
      <c r="E132" s="430">
        <f t="shared" si="2"/>
        <v>0</v>
      </c>
      <c r="F132" s="429">
        <f t="shared" si="3"/>
        <v>63364.835008488124</v>
      </c>
      <c r="G132" s="429">
        <f t="shared" si="4"/>
        <v>35963.260811718254</v>
      </c>
      <c r="H132" s="429">
        <f t="shared" si="7"/>
        <v>27401.574196769874</v>
      </c>
      <c r="I132" s="429">
        <f t="shared" si="5"/>
        <v>6540414.5464130519</v>
      </c>
      <c r="J132" s="429">
        <f>SUM($H$18:$H132)</f>
        <v>3992713.2423891807</v>
      </c>
    </row>
    <row r="133" spans="1:10" ht="15" customHeight="1" x14ac:dyDescent="0.15">
      <c r="A133" s="427">
        <v>116</v>
      </c>
      <c r="B133" s="428">
        <f t="shared" si="0"/>
        <v>45901</v>
      </c>
      <c r="C133" s="429">
        <f t="shared" si="8"/>
        <v>6540414.5464130519</v>
      </c>
      <c r="D133" s="429">
        <f t="shared" si="1"/>
        <v>63364.835008488124</v>
      </c>
      <c r="E133" s="430">
        <f t="shared" si="2"/>
        <v>0</v>
      </c>
      <c r="F133" s="429">
        <f t="shared" si="3"/>
        <v>63364.835008488124</v>
      </c>
      <c r="G133" s="429">
        <f t="shared" si="4"/>
        <v>36113.107731767072</v>
      </c>
      <c r="H133" s="429">
        <f t="shared" si="7"/>
        <v>27251.727276721052</v>
      </c>
      <c r="I133" s="429">
        <f t="shared" si="5"/>
        <v>6504301.4386812849</v>
      </c>
      <c r="J133" s="429">
        <f>SUM($H$18:$H133)</f>
        <v>4019964.9696659017</v>
      </c>
    </row>
    <row r="134" spans="1:10" ht="15" customHeight="1" x14ac:dyDescent="0.15">
      <c r="A134" s="427">
        <v>117</v>
      </c>
      <c r="B134" s="428">
        <f t="shared" si="0"/>
        <v>45931</v>
      </c>
      <c r="C134" s="429">
        <f t="shared" si="8"/>
        <v>6504301.4386812849</v>
      </c>
      <c r="D134" s="429">
        <f t="shared" si="1"/>
        <v>63364.835008488124</v>
      </c>
      <c r="E134" s="430">
        <f t="shared" si="2"/>
        <v>0</v>
      </c>
      <c r="F134" s="429">
        <f t="shared" si="3"/>
        <v>63364.835008488124</v>
      </c>
      <c r="G134" s="429">
        <f t="shared" si="4"/>
        <v>36263.579013982773</v>
      </c>
      <c r="H134" s="429">
        <f t="shared" si="7"/>
        <v>27101.255994505354</v>
      </c>
      <c r="I134" s="429">
        <f t="shared" si="5"/>
        <v>6468037.8596673021</v>
      </c>
      <c r="J134" s="429">
        <f>SUM($H$18:$H134)</f>
        <v>4047066.225660407</v>
      </c>
    </row>
    <row r="135" spans="1:10" ht="15" customHeight="1" x14ac:dyDescent="0.15">
      <c r="A135" s="427">
        <v>118</v>
      </c>
      <c r="B135" s="428">
        <f t="shared" si="0"/>
        <v>45962</v>
      </c>
      <c r="C135" s="429">
        <f t="shared" si="8"/>
        <v>6468037.8596673021</v>
      </c>
      <c r="D135" s="429">
        <f t="shared" si="1"/>
        <v>63364.835008488124</v>
      </c>
      <c r="E135" s="430">
        <f t="shared" si="2"/>
        <v>0</v>
      </c>
      <c r="F135" s="429">
        <f t="shared" si="3"/>
        <v>63364.835008488124</v>
      </c>
      <c r="G135" s="429">
        <f t="shared" si="4"/>
        <v>36414.67725987437</v>
      </c>
      <c r="H135" s="429">
        <f t="shared" si="7"/>
        <v>26950.157748613758</v>
      </c>
      <c r="I135" s="429">
        <f t="shared" si="5"/>
        <v>6431623.1824074276</v>
      </c>
      <c r="J135" s="429">
        <f>SUM($H$18:$H135)</f>
        <v>4074016.383409021</v>
      </c>
    </row>
    <row r="136" spans="1:10" ht="15" customHeight="1" x14ac:dyDescent="0.15">
      <c r="A136" s="427">
        <v>119</v>
      </c>
      <c r="B136" s="428">
        <f t="shared" si="0"/>
        <v>45992</v>
      </c>
      <c r="C136" s="429">
        <f t="shared" si="8"/>
        <v>6431623.1824074276</v>
      </c>
      <c r="D136" s="429">
        <f t="shared" si="1"/>
        <v>63364.835008488124</v>
      </c>
      <c r="E136" s="430">
        <f t="shared" si="2"/>
        <v>0</v>
      </c>
      <c r="F136" s="429">
        <f t="shared" si="3"/>
        <v>63364.835008488124</v>
      </c>
      <c r="G136" s="429">
        <f t="shared" si="4"/>
        <v>36566.405081790508</v>
      </c>
      <c r="H136" s="429">
        <f t="shared" si="7"/>
        <v>26798.429926697616</v>
      </c>
      <c r="I136" s="429">
        <f t="shared" si="5"/>
        <v>6395056.7773256367</v>
      </c>
      <c r="J136" s="429">
        <f>SUM($H$18:$H136)</f>
        <v>4100814.8133357186</v>
      </c>
    </row>
    <row r="137" spans="1:10" ht="15" customHeight="1" x14ac:dyDescent="0.15">
      <c r="A137" s="427">
        <v>120</v>
      </c>
      <c r="B137" s="428">
        <f t="shared" si="0"/>
        <v>46023</v>
      </c>
      <c r="C137" s="429">
        <f t="shared" si="8"/>
        <v>6395056.7773256367</v>
      </c>
      <c r="D137" s="429">
        <f t="shared" si="1"/>
        <v>63364.835008488124</v>
      </c>
      <c r="E137" s="430">
        <f t="shared" si="2"/>
        <v>0</v>
      </c>
      <c r="F137" s="429">
        <f t="shared" si="3"/>
        <v>63364.835008488124</v>
      </c>
      <c r="G137" s="429">
        <f t="shared" si="4"/>
        <v>36718.765102964637</v>
      </c>
      <c r="H137" s="429">
        <f t="shared" si="7"/>
        <v>26646.069905523487</v>
      </c>
      <c r="I137" s="429">
        <f t="shared" si="5"/>
        <v>6358338.0122226719</v>
      </c>
      <c r="J137" s="429">
        <f>SUM($H$18:$H137)</f>
        <v>4127460.8832412423</v>
      </c>
    </row>
    <row r="138" spans="1:10" ht="15" customHeight="1" x14ac:dyDescent="0.15">
      <c r="A138" s="427">
        <v>121</v>
      </c>
      <c r="B138" s="428">
        <f t="shared" si="0"/>
        <v>46054</v>
      </c>
      <c r="C138" s="429">
        <f t="shared" si="8"/>
        <v>6358338.0122226719</v>
      </c>
      <c r="D138" s="429">
        <f t="shared" si="1"/>
        <v>63364.835008488124</v>
      </c>
      <c r="E138" s="430">
        <f t="shared" si="2"/>
        <v>0</v>
      </c>
      <c r="F138" s="429">
        <f t="shared" si="3"/>
        <v>63364.835008488124</v>
      </c>
      <c r="G138" s="429">
        <f t="shared" si="4"/>
        <v>36871.759957560324</v>
      </c>
      <c r="H138" s="429">
        <f t="shared" si="7"/>
        <v>26493.0750509278</v>
      </c>
      <c r="I138" s="429">
        <f t="shared" si="5"/>
        <v>6321466.2522651115</v>
      </c>
      <c r="J138" s="429">
        <f>SUM($H$18:$H138)</f>
        <v>4153953.95829217</v>
      </c>
    </row>
    <row r="139" spans="1:10" ht="15" customHeight="1" x14ac:dyDescent="0.15">
      <c r="A139" s="427">
        <v>122</v>
      </c>
      <c r="B139" s="428">
        <f t="shared" si="0"/>
        <v>46082</v>
      </c>
      <c r="C139" s="429">
        <f t="shared" si="8"/>
        <v>6321466.2522651115</v>
      </c>
      <c r="D139" s="429">
        <f t="shared" si="1"/>
        <v>63364.835008488124</v>
      </c>
      <c r="E139" s="430">
        <f t="shared" si="2"/>
        <v>0</v>
      </c>
      <c r="F139" s="429">
        <f t="shared" si="3"/>
        <v>63364.835008488124</v>
      </c>
      <c r="G139" s="429">
        <f t="shared" si="4"/>
        <v>37025.392290716831</v>
      </c>
      <c r="H139" s="429">
        <f t="shared" si="7"/>
        <v>26339.442717771297</v>
      </c>
      <c r="I139" s="429">
        <f t="shared" si="5"/>
        <v>6284440.8599743946</v>
      </c>
      <c r="J139" s="429">
        <f>SUM($H$18:$H139)</f>
        <v>4180293.4010099415</v>
      </c>
    </row>
    <row r="140" spans="1:10" ht="15" customHeight="1" x14ac:dyDescent="0.15">
      <c r="A140" s="427">
        <v>123</v>
      </c>
      <c r="B140" s="428">
        <f t="shared" si="0"/>
        <v>46113</v>
      </c>
      <c r="C140" s="429">
        <f t="shared" si="8"/>
        <v>6284440.8599743946</v>
      </c>
      <c r="D140" s="429">
        <f t="shared" si="1"/>
        <v>63364.835008488124</v>
      </c>
      <c r="E140" s="430">
        <f t="shared" si="2"/>
        <v>0</v>
      </c>
      <c r="F140" s="429">
        <f t="shared" si="3"/>
        <v>63364.835008488124</v>
      </c>
      <c r="G140" s="429">
        <f t="shared" si="4"/>
        <v>37179.664758594809</v>
      </c>
      <c r="H140" s="429">
        <f t="shared" si="7"/>
        <v>26185.170249893312</v>
      </c>
      <c r="I140" s="429">
        <f t="shared" si="5"/>
        <v>6247261.1952157998</v>
      </c>
      <c r="J140" s="429">
        <f>SUM($H$18:$H140)</f>
        <v>4206478.5712598348</v>
      </c>
    </row>
    <row r="141" spans="1:10" ht="15" customHeight="1" x14ac:dyDescent="0.15">
      <c r="A141" s="427">
        <v>124</v>
      </c>
      <c r="B141" s="428">
        <f t="shared" si="0"/>
        <v>46143</v>
      </c>
      <c r="C141" s="429">
        <f t="shared" si="8"/>
        <v>6247261.1952157998</v>
      </c>
      <c r="D141" s="429">
        <f t="shared" si="1"/>
        <v>63364.835008488124</v>
      </c>
      <c r="E141" s="430">
        <f t="shared" si="2"/>
        <v>0</v>
      </c>
      <c r="F141" s="429">
        <f t="shared" si="3"/>
        <v>63364.835008488124</v>
      </c>
      <c r="G141" s="429">
        <f t="shared" si="4"/>
        <v>37334.580028422293</v>
      </c>
      <c r="H141" s="429">
        <f t="shared" si="7"/>
        <v>26030.254980065834</v>
      </c>
      <c r="I141" s="429">
        <f t="shared" si="5"/>
        <v>6209926.6151873777</v>
      </c>
      <c r="J141" s="429">
        <f>SUM($H$18:$H141)</f>
        <v>4232508.8262399007</v>
      </c>
    </row>
    <row r="142" spans="1:10" ht="15" customHeight="1" x14ac:dyDescent="0.15">
      <c r="A142" s="427">
        <v>125</v>
      </c>
      <c r="B142" s="428">
        <f t="shared" si="0"/>
        <v>46174</v>
      </c>
      <c r="C142" s="429">
        <f t="shared" si="8"/>
        <v>6209926.6151873777</v>
      </c>
      <c r="D142" s="429">
        <f t="shared" si="1"/>
        <v>63364.835008488124</v>
      </c>
      <c r="E142" s="430">
        <f t="shared" si="2"/>
        <v>0</v>
      </c>
      <c r="F142" s="429">
        <f t="shared" si="3"/>
        <v>63364.835008488124</v>
      </c>
      <c r="G142" s="429">
        <f t="shared" si="4"/>
        <v>37490.140778540721</v>
      </c>
      <c r="H142" s="429">
        <f t="shared" si="7"/>
        <v>25874.694229947407</v>
      </c>
      <c r="I142" s="429">
        <f t="shared" si="5"/>
        <v>6172436.474408837</v>
      </c>
      <c r="J142" s="429">
        <f>SUM($H$18:$H142)</f>
        <v>4258383.5204698481</v>
      </c>
    </row>
    <row r="143" spans="1:10" ht="15" customHeight="1" x14ac:dyDescent="0.15">
      <c r="A143" s="427">
        <v>126</v>
      </c>
      <c r="B143" s="428">
        <f t="shared" si="0"/>
        <v>46204</v>
      </c>
      <c r="C143" s="429">
        <f t="shared" si="8"/>
        <v>6172436.474408837</v>
      </c>
      <c r="D143" s="429">
        <f t="shared" si="1"/>
        <v>63364.835008488124</v>
      </c>
      <c r="E143" s="430">
        <f t="shared" si="2"/>
        <v>0</v>
      </c>
      <c r="F143" s="429">
        <f t="shared" si="3"/>
        <v>63364.835008488124</v>
      </c>
      <c r="G143" s="429">
        <f t="shared" si="4"/>
        <v>37646.349698451304</v>
      </c>
      <c r="H143" s="429">
        <f t="shared" si="7"/>
        <v>25718.48531003682</v>
      </c>
      <c r="I143" s="429">
        <f t="shared" si="5"/>
        <v>6134790.1247103857</v>
      </c>
      <c r="J143" s="429">
        <f>SUM($H$18:$H143)</f>
        <v>4284102.0057798848</v>
      </c>
    </row>
    <row r="144" spans="1:10" ht="15" customHeight="1" x14ac:dyDescent="0.15">
      <c r="A144" s="427">
        <v>127</v>
      </c>
      <c r="B144" s="428">
        <f t="shared" si="0"/>
        <v>46235</v>
      </c>
      <c r="C144" s="429">
        <f t="shared" si="8"/>
        <v>6134790.1247103857</v>
      </c>
      <c r="D144" s="429">
        <f t="shared" si="1"/>
        <v>63364.835008488124</v>
      </c>
      <c r="E144" s="430">
        <f t="shared" si="2"/>
        <v>0</v>
      </c>
      <c r="F144" s="429">
        <f t="shared" si="3"/>
        <v>63364.835008488124</v>
      </c>
      <c r="G144" s="429">
        <f t="shared" si="4"/>
        <v>37803.20948886151</v>
      </c>
      <c r="H144" s="429">
        <f t="shared" si="7"/>
        <v>25561.62551962661</v>
      </c>
      <c r="I144" s="429">
        <f t="shared" si="5"/>
        <v>6096986.9152215244</v>
      </c>
      <c r="J144" s="429">
        <f>SUM($H$18:$H144)</f>
        <v>4309663.6312995115</v>
      </c>
    </row>
    <row r="145" spans="1:10" ht="15" customHeight="1" x14ac:dyDescent="0.15">
      <c r="A145" s="427">
        <v>128</v>
      </c>
      <c r="B145" s="428">
        <f t="shared" si="0"/>
        <v>46266</v>
      </c>
      <c r="C145" s="429">
        <f t="shared" si="8"/>
        <v>6096986.9152215244</v>
      </c>
      <c r="D145" s="429">
        <f t="shared" si="1"/>
        <v>63364.835008488124</v>
      </c>
      <c r="E145" s="430">
        <f t="shared" si="2"/>
        <v>0</v>
      </c>
      <c r="F145" s="429">
        <f t="shared" si="3"/>
        <v>63364.835008488124</v>
      </c>
      <c r="G145" s="429">
        <f t="shared" si="4"/>
        <v>37960.722861731774</v>
      </c>
      <c r="H145" s="429">
        <f t="shared" si="7"/>
        <v>25404.112146756353</v>
      </c>
      <c r="I145" s="429">
        <f t="shared" si="5"/>
        <v>6059026.192359793</v>
      </c>
      <c r="J145" s="429">
        <f>SUM($H$18:$H145)</f>
        <v>4335067.7434462681</v>
      </c>
    </row>
    <row r="146" spans="1:10" ht="15" customHeight="1" x14ac:dyDescent="0.15">
      <c r="A146" s="427">
        <v>129</v>
      </c>
      <c r="B146" s="428">
        <f t="shared" si="0"/>
        <v>46296</v>
      </c>
      <c r="C146" s="429">
        <f t="shared" si="8"/>
        <v>6059026.192359793</v>
      </c>
      <c r="D146" s="429">
        <f t="shared" si="1"/>
        <v>63364.835008488124</v>
      </c>
      <c r="E146" s="430">
        <f t="shared" si="2"/>
        <v>0</v>
      </c>
      <c r="F146" s="429">
        <f t="shared" si="3"/>
        <v>63364.835008488124</v>
      </c>
      <c r="G146" s="429">
        <f t="shared" si="4"/>
        <v>38118.892540322326</v>
      </c>
      <c r="H146" s="429">
        <f t="shared" si="7"/>
        <v>25245.942468165802</v>
      </c>
      <c r="I146" s="429">
        <f t="shared" si="5"/>
        <v>6020907.2998194704</v>
      </c>
      <c r="J146" s="429">
        <f>SUM($H$18:$H146)</f>
        <v>4360313.6859144336</v>
      </c>
    </row>
    <row r="147" spans="1:10" ht="15" customHeight="1" x14ac:dyDescent="0.15">
      <c r="A147" s="427">
        <v>130</v>
      </c>
      <c r="B147" s="428">
        <f t="shared" si="0"/>
        <v>46327</v>
      </c>
      <c r="C147" s="429">
        <f t="shared" ref="C147:C210" si="9">IF($A$18:$A$377&lt;&gt;"",I146,"")</f>
        <v>6020907.2998194704</v>
      </c>
      <c r="D147" s="429">
        <f t="shared" si="1"/>
        <v>63364.835008488124</v>
      </c>
      <c r="E147" s="430">
        <f t="shared" si="2"/>
        <v>0</v>
      </c>
      <c r="F147" s="429">
        <f t="shared" si="3"/>
        <v>63364.835008488124</v>
      </c>
      <c r="G147" s="429">
        <f t="shared" si="4"/>
        <v>38277.721259240323</v>
      </c>
      <c r="H147" s="429">
        <f t="shared" si="7"/>
        <v>25087.113749247797</v>
      </c>
      <c r="I147" s="429">
        <f t="shared" si="5"/>
        <v>5982629.5785602303</v>
      </c>
      <c r="J147" s="429">
        <f>SUM($H$18:$H147)</f>
        <v>4385400.7996636815</v>
      </c>
    </row>
    <row r="148" spans="1:10" ht="15" customHeight="1" x14ac:dyDescent="0.15">
      <c r="A148" s="427">
        <v>131</v>
      </c>
      <c r="B148" s="428">
        <f t="shared" si="0"/>
        <v>46357</v>
      </c>
      <c r="C148" s="429">
        <f t="shared" si="9"/>
        <v>5982629.5785602303</v>
      </c>
      <c r="D148" s="429">
        <f t="shared" si="1"/>
        <v>63364.835008488124</v>
      </c>
      <c r="E148" s="430">
        <f t="shared" si="2"/>
        <v>0</v>
      </c>
      <c r="F148" s="429">
        <f t="shared" si="3"/>
        <v>63364.835008488124</v>
      </c>
      <c r="G148" s="429">
        <f t="shared" si="4"/>
        <v>38437.211764487161</v>
      </c>
      <c r="H148" s="429">
        <f t="shared" si="7"/>
        <v>24927.623244000963</v>
      </c>
      <c r="I148" s="429">
        <f t="shared" si="5"/>
        <v>5944192.3667957429</v>
      </c>
      <c r="J148" s="429">
        <f>SUM($H$18:$H148)</f>
        <v>4410328.4229076821</v>
      </c>
    </row>
    <row r="149" spans="1:10" ht="15" customHeight="1" x14ac:dyDescent="0.15">
      <c r="A149" s="427">
        <v>132</v>
      </c>
      <c r="B149" s="428">
        <f t="shared" si="0"/>
        <v>46388</v>
      </c>
      <c r="C149" s="429">
        <f t="shared" si="9"/>
        <v>5944192.3667957429</v>
      </c>
      <c r="D149" s="429">
        <f t="shared" si="1"/>
        <v>63364.835008488124</v>
      </c>
      <c r="E149" s="430">
        <f t="shared" si="2"/>
        <v>0</v>
      </c>
      <c r="F149" s="429">
        <f t="shared" si="3"/>
        <v>63364.835008488124</v>
      </c>
      <c r="G149" s="429">
        <f t="shared" si="4"/>
        <v>38597.366813505854</v>
      </c>
      <c r="H149" s="429">
        <f t="shared" si="7"/>
        <v>24767.468194982266</v>
      </c>
      <c r="I149" s="429">
        <f t="shared" si="5"/>
        <v>5905594.9999822369</v>
      </c>
      <c r="J149" s="429">
        <f>SUM($H$18:$H149)</f>
        <v>4435095.8911026642</v>
      </c>
    </row>
    <row r="150" spans="1:10" ht="15" customHeight="1" x14ac:dyDescent="0.15">
      <c r="A150" s="427">
        <v>133</v>
      </c>
      <c r="B150" s="428">
        <f t="shared" si="0"/>
        <v>46419</v>
      </c>
      <c r="C150" s="429">
        <f t="shared" si="9"/>
        <v>5905594.9999822369</v>
      </c>
      <c r="D150" s="429">
        <f t="shared" si="1"/>
        <v>63364.835008488124</v>
      </c>
      <c r="E150" s="430">
        <f t="shared" si="2"/>
        <v>0</v>
      </c>
      <c r="F150" s="429">
        <f t="shared" si="3"/>
        <v>63364.835008488124</v>
      </c>
      <c r="G150" s="429">
        <f t="shared" si="4"/>
        <v>38758.189175228807</v>
      </c>
      <c r="H150" s="429">
        <f t="shared" si="7"/>
        <v>24606.645833259321</v>
      </c>
      <c r="I150" s="429">
        <f t="shared" si="5"/>
        <v>5866836.8108070083</v>
      </c>
      <c r="J150" s="429">
        <f>SUM($H$18:$H150)</f>
        <v>4459702.5369359236</v>
      </c>
    </row>
    <row r="151" spans="1:10" ht="15" customHeight="1" x14ac:dyDescent="0.15">
      <c r="A151" s="427">
        <v>134</v>
      </c>
      <c r="B151" s="428">
        <f t="shared" si="0"/>
        <v>46447</v>
      </c>
      <c r="C151" s="429">
        <f t="shared" si="9"/>
        <v>5866836.8108070083</v>
      </c>
      <c r="D151" s="429">
        <f t="shared" si="1"/>
        <v>63364.835008488124</v>
      </c>
      <c r="E151" s="430">
        <f t="shared" si="2"/>
        <v>0</v>
      </c>
      <c r="F151" s="429">
        <f t="shared" si="3"/>
        <v>63364.835008488124</v>
      </c>
      <c r="G151" s="429">
        <f t="shared" si="4"/>
        <v>38919.681630125589</v>
      </c>
      <c r="H151" s="429">
        <f t="shared" si="7"/>
        <v>24445.153378362535</v>
      </c>
      <c r="I151" s="429">
        <f t="shared" si="5"/>
        <v>5827917.129176883</v>
      </c>
      <c r="J151" s="429">
        <f>SUM($H$18:$H151)</f>
        <v>4484147.6903142864</v>
      </c>
    </row>
    <row r="152" spans="1:10" ht="15" customHeight="1" x14ac:dyDescent="0.15">
      <c r="A152" s="427">
        <v>135</v>
      </c>
      <c r="B152" s="428">
        <f t="shared" si="0"/>
        <v>46478</v>
      </c>
      <c r="C152" s="429">
        <f t="shared" si="9"/>
        <v>5827917.129176883</v>
      </c>
      <c r="D152" s="429">
        <f t="shared" si="1"/>
        <v>63364.835008488124</v>
      </c>
      <c r="E152" s="430">
        <f t="shared" si="2"/>
        <v>0</v>
      </c>
      <c r="F152" s="429">
        <f t="shared" si="3"/>
        <v>63364.835008488124</v>
      </c>
      <c r="G152" s="429">
        <f t="shared" si="4"/>
        <v>39081.846970251107</v>
      </c>
      <c r="H152" s="429">
        <f t="shared" si="7"/>
        <v>24282.988038237014</v>
      </c>
      <c r="I152" s="429">
        <f t="shared" si="5"/>
        <v>5788835.2822066322</v>
      </c>
      <c r="J152" s="429">
        <f>SUM($H$18:$H152)</f>
        <v>4508430.6783525236</v>
      </c>
    </row>
    <row r="153" spans="1:10" ht="15" customHeight="1" x14ac:dyDescent="0.15">
      <c r="A153" s="427">
        <v>136</v>
      </c>
      <c r="B153" s="428">
        <f t="shared" si="0"/>
        <v>46508</v>
      </c>
      <c r="C153" s="429">
        <f t="shared" si="9"/>
        <v>5788835.2822066322</v>
      </c>
      <c r="D153" s="429">
        <f t="shared" si="1"/>
        <v>63364.835008488124</v>
      </c>
      <c r="E153" s="430">
        <f t="shared" si="2"/>
        <v>0</v>
      </c>
      <c r="F153" s="429">
        <f t="shared" si="3"/>
        <v>63364.835008488124</v>
      </c>
      <c r="G153" s="429">
        <f t="shared" si="4"/>
        <v>39244.687999293819</v>
      </c>
      <c r="H153" s="429">
        <f t="shared" si="7"/>
        <v>24120.147009194301</v>
      </c>
      <c r="I153" s="429">
        <f t="shared" si="5"/>
        <v>5749590.5942073381</v>
      </c>
      <c r="J153" s="429">
        <f>SUM($H$18:$H153)</f>
        <v>4532550.8253617175</v>
      </c>
    </row>
    <row r="154" spans="1:10" ht="15" customHeight="1" x14ac:dyDescent="0.15">
      <c r="A154" s="427">
        <v>137</v>
      </c>
      <c r="B154" s="428">
        <f t="shared" si="0"/>
        <v>46539</v>
      </c>
      <c r="C154" s="429">
        <f t="shared" si="9"/>
        <v>5749590.5942073381</v>
      </c>
      <c r="D154" s="429">
        <f t="shared" si="1"/>
        <v>63364.835008488124</v>
      </c>
      <c r="E154" s="430">
        <f t="shared" si="2"/>
        <v>0</v>
      </c>
      <c r="F154" s="429">
        <f t="shared" si="3"/>
        <v>63364.835008488124</v>
      </c>
      <c r="G154" s="429">
        <f t="shared" si="4"/>
        <v>39408.207532624219</v>
      </c>
      <c r="H154" s="429">
        <f t="shared" si="7"/>
        <v>23956.627475863908</v>
      </c>
      <c r="I154" s="429">
        <f t="shared" si="5"/>
        <v>5710182.3866747143</v>
      </c>
      <c r="J154" s="429">
        <f>SUM($H$18:$H154)</f>
        <v>4556507.4528375817</v>
      </c>
    </row>
    <row r="155" spans="1:10" ht="15" customHeight="1" x14ac:dyDescent="0.15">
      <c r="A155" s="427">
        <v>138</v>
      </c>
      <c r="B155" s="428">
        <f t="shared" si="0"/>
        <v>46569</v>
      </c>
      <c r="C155" s="429">
        <f t="shared" si="9"/>
        <v>5710182.3866747143</v>
      </c>
      <c r="D155" s="429">
        <f t="shared" si="1"/>
        <v>63364.835008488124</v>
      </c>
      <c r="E155" s="430">
        <f t="shared" si="2"/>
        <v>0</v>
      </c>
      <c r="F155" s="429">
        <f t="shared" si="3"/>
        <v>63364.835008488124</v>
      </c>
      <c r="G155" s="429">
        <f t="shared" si="4"/>
        <v>39572.408397343475</v>
      </c>
      <c r="H155" s="429">
        <f t="shared" si="7"/>
        <v>23792.426611144645</v>
      </c>
      <c r="I155" s="429">
        <f t="shared" si="5"/>
        <v>5670609.9782773703</v>
      </c>
      <c r="J155" s="429">
        <f>SUM($H$18:$H155)</f>
        <v>4580299.8794487268</v>
      </c>
    </row>
    <row r="156" spans="1:10" ht="15" customHeight="1" x14ac:dyDescent="0.15">
      <c r="A156" s="427">
        <v>139</v>
      </c>
      <c r="B156" s="428">
        <f t="shared" si="0"/>
        <v>46600</v>
      </c>
      <c r="C156" s="429">
        <f t="shared" si="9"/>
        <v>5670609.9782773703</v>
      </c>
      <c r="D156" s="429">
        <f t="shared" si="1"/>
        <v>63364.835008488124</v>
      </c>
      <c r="E156" s="430">
        <f t="shared" si="2"/>
        <v>0</v>
      </c>
      <c r="F156" s="429">
        <f t="shared" si="3"/>
        <v>63364.835008488124</v>
      </c>
      <c r="G156" s="429">
        <f t="shared" si="4"/>
        <v>39737.293432332415</v>
      </c>
      <c r="H156" s="429">
        <f t="shared" si="7"/>
        <v>23627.541576155709</v>
      </c>
      <c r="I156" s="429">
        <f t="shared" si="5"/>
        <v>5630872.6848450378</v>
      </c>
      <c r="J156" s="429">
        <f>SUM($H$18:$H156)</f>
        <v>4603927.4210248822</v>
      </c>
    </row>
    <row r="157" spans="1:10" ht="15" customHeight="1" x14ac:dyDescent="0.15">
      <c r="A157" s="427">
        <v>140</v>
      </c>
      <c r="B157" s="428">
        <f t="shared" si="0"/>
        <v>46631</v>
      </c>
      <c r="C157" s="429">
        <f t="shared" si="9"/>
        <v>5630872.6848450378</v>
      </c>
      <c r="D157" s="429">
        <f t="shared" si="1"/>
        <v>63364.835008488124</v>
      </c>
      <c r="E157" s="430">
        <f t="shared" si="2"/>
        <v>0</v>
      </c>
      <c r="F157" s="429">
        <f t="shared" si="3"/>
        <v>63364.835008488124</v>
      </c>
      <c r="G157" s="429">
        <f t="shared" si="4"/>
        <v>39902.865488300464</v>
      </c>
      <c r="H157" s="429">
        <f t="shared" si="7"/>
        <v>23461.96952018766</v>
      </c>
      <c r="I157" s="429">
        <f t="shared" si="5"/>
        <v>5590969.8193567377</v>
      </c>
      <c r="J157" s="429">
        <f>SUM($H$18:$H157)</f>
        <v>4627389.3905450702</v>
      </c>
    </row>
    <row r="158" spans="1:10" ht="15" customHeight="1" x14ac:dyDescent="0.15">
      <c r="A158" s="427">
        <v>141</v>
      </c>
      <c r="B158" s="428">
        <f t="shared" si="0"/>
        <v>46661</v>
      </c>
      <c r="C158" s="429">
        <f t="shared" si="9"/>
        <v>5590969.8193567377</v>
      </c>
      <c r="D158" s="429">
        <f t="shared" si="1"/>
        <v>63364.835008488124</v>
      </c>
      <c r="E158" s="430">
        <f t="shared" si="2"/>
        <v>0</v>
      </c>
      <c r="F158" s="429">
        <f t="shared" si="3"/>
        <v>63364.835008488124</v>
      </c>
      <c r="G158" s="429">
        <f t="shared" si="4"/>
        <v>40069.127427835047</v>
      </c>
      <c r="H158" s="429">
        <f t="shared" si="7"/>
        <v>23295.707580653074</v>
      </c>
      <c r="I158" s="429">
        <f t="shared" si="5"/>
        <v>5550900.6919289026</v>
      </c>
      <c r="J158" s="429">
        <f>SUM($H$18:$H158)</f>
        <v>4650685.0981257232</v>
      </c>
    </row>
    <row r="159" spans="1:10" ht="15" customHeight="1" x14ac:dyDescent="0.15">
      <c r="A159" s="427">
        <v>142</v>
      </c>
      <c r="B159" s="428">
        <f t="shared" si="0"/>
        <v>46692</v>
      </c>
      <c r="C159" s="429">
        <f t="shared" si="9"/>
        <v>5550900.6919289026</v>
      </c>
      <c r="D159" s="429">
        <f t="shared" si="1"/>
        <v>63364.835008488124</v>
      </c>
      <c r="E159" s="430">
        <f t="shared" si="2"/>
        <v>0</v>
      </c>
      <c r="F159" s="429">
        <f t="shared" si="3"/>
        <v>63364.835008488124</v>
      </c>
      <c r="G159" s="429">
        <f t="shared" si="4"/>
        <v>40236.082125451023</v>
      </c>
      <c r="H159" s="429">
        <f t="shared" si="7"/>
        <v>23128.752883037097</v>
      </c>
      <c r="I159" s="429">
        <f t="shared" si="5"/>
        <v>5510664.6098034512</v>
      </c>
      <c r="J159" s="429">
        <f>SUM($H$18:$H159)</f>
        <v>4673813.8510087607</v>
      </c>
    </row>
    <row r="160" spans="1:10" ht="15" customHeight="1" x14ac:dyDescent="0.15">
      <c r="A160" s="427">
        <v>143</v>
      </c>
      <c r="B160" s="428">
        <f t="shared" si="0"/>
        <v>46722</v>
      </c>
      <c r="C160" s="429">
        <f t="shared" si="9"/>
        <v>5510664.6098034512</v>
      </c>
      <c r="D160" s="429">
        <f t="shared" si="1"/>
        <v>63364.835008488124</v>
      </c>
      <c r="E160" s="430">
        <f t="shared" si="2"/>
        <v>0</v>
      </c>
      <c r="F160" s="429">
        <f t="shared" si="3"/>
        <v>63364.835008488124</v>
      </c>
      <c r="G160" s="429">
        <f t="shared" si="4"/>
        <v>40403.73246764041</v>
      </c>
      <c r="H160" s="429">
        <f t="shared" si="7"/>
        <v>22961.102540847714</v>
      </c>
      <c r="I160" s="429">
        <f t="shared" si="5"/>
        <v>5470260.877335811</v>
      </c>
      <c r="J160" s="429">
        <f>SUM($H$18:$H160)</f>
        <v>4696774.9535496086</v>
      </c>
    </row>
    <row r="161" spans="1:10" ht="15" customHeight="1" x14ac:dyDescent="0.15">
      <c r="A161" s="427">
        <v>144</v>
      </c>
      <c r="B161" s="428">
        <f t="shared" si="0"/>
        <v>46753</v>
      </c>
      <c r="C161" s="429">
        <f t="shared" si="9"/>
        <v>5470260.877335811</v>
      </c>
      <c r="D161" s="429">
        <f t="shared" si="1"/>
        <v>63364.835008488124</v>
      </c>
      <c r="E161" s="430">
        <f t="shared" si="2"/>
        <v>0</v>
      </c>
      <c r="F161" s="429">
        <f t="shared" si="3"/>
        <v>63364.835008488124</v>
      </c>
      <c r="G161" s="429">
        <f t="shared" si="4"/>
        <v>40572.081352922251</v>
      </c>
      <c r="H161" s="429">
        <f t="shared" si="7"/>
        <v>22792.753655565877</v>
      </c>
      <c r="I161" s="429">
        <f t="shared" si="5"/>
        <v>5429688.7959828889</v>
      </c>
      <c r="J161" s="429">
        <f>SUM($H$18:$H161)</f>
        <v>4719567.7072051745</v>
      </c>
    </row>
    <row r="162" spans="1:10" ht="15" customHeight="1" x14ac:dyDescent="0.15">
      <c r="A162" s="427">
        <v>145</v>
      </c>
      <c r="B162" s="428">
        <f t="shared" si="0"/>
        <v>46784</v>
      </c>
      <c r="C162" s="429">
        <f t="shared" si="9"/>
        <v>5429688.7959828889</v>
      </c>
      <c r="D162" s="429">
        <f t="shared" si="1"/>
        <v>63364.835008488124</v>
      </c>
      <c r="E162" s="430">
        <f t="shared" si="2"/>
        <v>0</v>
      </c>
      <c r="F162" s="429">
        <f t="shared" si="3"/>
        <v>63364.835008488124</v>
      </c>
      <c r="G162" s="429">
        <f t="shared" si="4"/>
        <v>40741.131691892748</v>
      </c>
      <c r="H162" s="429">
        <f t="shared" si="7"/>
        <v>22623.703316595373</v>
      </c>
      <c r="I162" s="429">
        <f t="shared" si="5"/>
        <v>5388947.6642909963</v>
      </c>
      <c r="J162" s="429">
        <f>SUM($H$18:$H162)</f>
        <v>4742191.4105217699</v>
      </c>
    </row>
    <row r="163" spans="1:10" ht="15" customHeight="1" x14ac:dyDescent="0.15">
      <c r="A163" s="427">
        <v>146</v>
      </c>
      <c r="B163" s="428">
        <f t="shared" si="0"/>
        <v>46813</v>
      </c>
      <c r="C163" s="429">
        <f t="shared" si="9"/>
        <v>5388947.6642909963</v>
      </c>
      <c r="D163" s="429">
        <f t="shared" si="1"/>
        <v>63364.835008488124</v>
      </c>
      <c r="E163" s="430">
        <f t="shared" si="2"/>
        <v>0</v>
      </c>
      <c r="F163" s="429">
        <f t="shared" si="3"/>
        <v>63364.835008488124</v>
      </c>
      <c r="G163" s="429">
        <f t="shared" si="4"/>
        <v>40910.886407275641</v>
      </c>
      <c r="H163" s="429">
        <f t="shared" si="7"/>
        <v>22453.948601212483</v>
      </c>
      <c r="I163" s="429">
        <f t="shared" si="5"/>
        <v>5348036.7778837206</v>
      </c>
      <c r="J163" s="429">
        <f>SUM($H$18:$H163)</f>
        <v>4764645.3591229822</v>
      </c>
    </row>
    <row r="164" spans="1:10" ht="15" customHeight="1" x14ac:dyDescent="0.15">
      <c r="A164" s="427">
        <v>147</v>
      </c>
      <c r="B164" s="428">
        <f t="shared" si="0"/>
        <v>46844</v>
      </c>
      <c r="C164" s="429">
        <f t="shared" si="9"/>
        <v>5348036.7778837206</v>
      </c>
      <c r="D164" s="429">
        <f t="shared" si="1"/>
        <v>63364.835008488124</v>
      </c>
      <c r="E164" s="430">
        <f t="shared" si="2"/>
        <v>0</v>
      </c>
      <c r="F164" s="429">
        <f t="shared" si="3"/>
        <v>63364.835008488124</v>
      </c>
      <c r="G164" s="429">
        <f t="shared" si="4"/>
        <v>41081.348433972627</v>
      </c>
      <c r="H164" s="429">
        <f t="shared" si="7"/>
        <v>22283.4865745155</v>
      </c>
      <c r="I164" s="429">
        <f t="shared" si="5"/>
        <v>5306955.4294497482</v>
      </c>
      <c r="J164" s="429">
        <f>SUM($H$18:$H164)</f>
        <v>4786928.8456974979</v>
      </c>
    </row>
    <row r="165" spans="1:10" ht="15" customHeight="1" x14ac:dyDescent="0.15">
      <c r="A165" s="427">
        <v>148</v>
      </c>
      <c r="B165" s="428">
        <f t="shared" si="0"/>
        <v>46874</v>
      </c>
      <c r="C165" s="429">
        <f t="shared" si="9"/>
        <v>5306955.4294497482</v>
      </c>
      <c r="D165" s="429">
        <f t="shared" si="1"/>
        <v>63364.835008488124</v>
      </c>
      <c r="E165" s="430">
        <f t="shared" si="2"/>
        <v>0</v>
      </c>
      <c r="F165" s="429">
        <f t="shared" si="3"/>
        <v>63364.835008488124</v>
      </c>
      <c r="G165" s="429">
        <f t="shared" si="4"/>
        <v>41252.520719114167</v>
      </c>
      <c r="H165" s="429">
        <f t="shared" si="7"/>
        <v>22112.314289373953</v>
      </c>
      <c r="I165" s="429">
        <f t="shared" si="5"/>
        <v>5265702.9087306345</v>
      </c>
      <c r="J165" s="429">
        <f>SUM($H$18:$H165)</f>
        <v>4809041.1599868722</v>
      </c>
    </row>
    <row r="166" spans="1:10" ht="15" customHeight="1" x14ac:dyDescent="0.15">
      <c r="A166" s="427">
        <v>149</v>
      </c>
      <c r="B166" s="428">
        <f t="shared" si="0"/>
        <v>46905</v>
      </c>
      <c r="C166" s="429">
        <f t="shared" si="9"/>
        <v>5265702.9087306345</v>
      </c>
      <c r="D166" s="429">
        <f t="shared" si="1"/>
        <v>63364.835008488124</v>
      </c>
      <c r="E166" s="430">
        <f t="shared" si="2"/>
        <v>0</v>
      </c>
      <c r="F166" s="429">
        <f t="shared" si="3"/>
        <v>63364.835008488124</v>
      </c>
      <c r="G166" s="429">
        <f t="shared" si="4"/>
        <v>41424.406222110483</v>
      </c>
      <c r="H166" s="429">
        <f t="shared" si="7"/>
        <v>21940.428786377644</v>
      </c>
      <c r="I166" s="429">
        <f t="shared" si="5"/>
        <v>5224278.5025085239</v>
      </c>
      <c r="J166" s="429">
        <f>SUM($H$18:$H166)</f>
        <v>4830981.5887732496</v>
      </c>
    </row>
    <row r="167" spans="1:10" ht="15" customHeight="1" x14ac:dyDescent="0.15">
      <c r="A167" s="427">
        <v>150</v>
      </c>
      <c r="B167" s="428">
        <f t="shared" si="0"/>
        <v>46935</v>
      </c>
      <c r="C167" s="429">
        <f t="shared" si="9"/>
        <v>5224278.5025085239</v>
      </c>
      <c r="D167" s="429">
        <f t="shared" si="1"/>
        <v>63364.835008488124</v>
      </c>
      <c r="E167" s="430">
        <f t="shared" si="2"/>
        <v>0</v>
      </c>
      <c r="F167" s="429">
        <f t="shared" si="3"/>
        <v>63364.835008488124</v>
      </c>
      <c r="G167" s="429">
        <f t="shared" si="4"/>
        <v>41597.007914702612</v>
      </c>
      <c r="H167" s="429">
        <f t="shared" si="7"/>
        <v>21767.827093785516</v>
      </c>
      <c r="I167" s="429">
        <f t="shared" si="5"/>
        <v>5182681.4945938215</v>
      </c>
      <c r="J167" s="429">
        <f>SUM($H$18:$H167)</f>
        <v>4852749.4158670353</v>
      </c>
    </row>
    <row r="168" spans="1:10" ht="15" customHeight="1" x14ac:dyDescent="0.15">
      <c r="A168" s="427">
        <v>151</v>
      </c>
      <c r="B168" s="428">
        <f t="shared" si="0"/>
        <v>46966</v>
      </c>
      <c r="C168" s="429">
        <f t="shared" si="9"/>
        <v>5182681.4945938215</v>
      </c>
      <c r="D168" s="429">
        <f t="shared" si="1"/>
        <v>63364.835008488124</v>
      </c>
      <c r="E168" s="430">
        <f t="shared" si="2"/>
        <v>0</v>
      </c>
      <c r="F168" s="429">
        <f t="shared" si="3"/>
        <v>63364.835008488124</v>
      </c>
      <c r="G168" s="429">
        <f t="shared" si="4"/>
        <v>41770.328781013872</v>
      </c>
      <c r="H168" s="429">
        <f t="shared" si="7"/>
        <v>21594.506227474256</v>
      </c>
      <c r="I168" s="429">
        <f t="shared" si="5"/>
        <v>5140911.1658128072</v>
      </c>
      <c r="J168" s="429">
        <f>SUM($H$18:$H168)</f>
        <v>4874343.9220945099</v>
      </c>
    </row>
    <row r="169" spans="1:10" ht="15" customHeight="1" x14ac:dyDescent="0.15">
      <c r="A169" s="427">
        <v>152</v>
      </c>
      <c r="B169" s="428">
        <f t="shared" si="0"/>
        <v>46997</v>
      </c>
      <c r="C169" s="429">
        <f t="shared" si="9"/>
        <v>5140911.1658128072</v>
      </c>
      <c r="D169" s="429">
        <f t="shared" si="1"/>
        <v>63364.835008488124</v>
      </c>
      <c r="E169" s="430">
        <f t="shared" si="2"/>
        <v>0</v>
      </c>
      <c r="F169" s="429">
        <f t="shared" si="3"/>
        <v>63364.835008488124</v>
      </c>
      <c r="G169" s="429">
        <f t="shared" si="4"/>
        <v>41944.371817601423</v>
      </c>
      <c r="H169" s="429">
        <f t="shared" si="7"/>
        <v>21420.463190886698</v>
      </c>
      <c r="I169" s="429">
        <f t="shared" si="5"/>
        <v>5098966.7939952053</v>
      </c>
      <c r="J169" s="429">
        <f>SUM($H$18:$H169)</f>
        <v>4895764.3852853971</v>
      </c>
    </row>
    <row r="170" spans="1:10" ht="15" customHeight="1" x14ac:dyDescent="0.15">
      <c r="A170" s="427">
        <v>153</v>
      </c>
      <c r="B170" s="428">
        <f t="shared" si="0"/>
        <v>47027</v>
      </c>
      <c r="C170" s="429">
        <f t="shared" si="9"/>
        <v>5098966.7939952053</v>
      </c>
      <c r="D170" s="429">
        <f t="shared" si="1"/>
        <v>63364.835008488124</v>
      </c>
      <c r="E170" s="430">
        <f t="shared" si="2"/>
        <v>0</v>
      </c>
      <c r="F170" s="429">
        <f t="shared" si="3"/>
        <v>63364.835008488124</v>
      </c>
      <c r="G170" s="429">
        <f t="shared" si="4"/>
        <v>42119.140033508098</v>
      </c>
      <c r="H170" s="429">
        <f t="shared" si="7"/>
        <v>21245.694974980022</v>
      </c>
      <c r="I170" s="429">
        <f t="shared" si="5"/>
        <v>5056847.6539616976</v>
      </c>
      <c r="J170" s="429">
        <f>SUM($H$18:$H170)</f>
        <v>4917010.0802603774</v>
      </c>
    </row>
    <row r="171" spans="1:10" ht="15" customHeight="1" x14ac:dyDescent="0.15">
      <c r="A171" s="427">
        <v>154</v>
      </c>
      <c r="B171" s="428">
        <f t="shared" si="0"/>
        <v>47058</v>
      </c>
      <c r="C171" s="429">
        <f t="shared" si="9"/>
        <v>5056847.6539616976</v>
      </c>
      <c r="D171" s="429">
        <f t="shared" si="1"/>
        <v>63364.835008488124</v>
      </c>
      <c r="E171" s="430">
        <f t="shared" si="2"/>
        <v>0</v>
      </c>
      <c r="F171" s="429">
        <f t="shared" si="3"/>
        <v>63364.835008488124</v>
      </c>
      <c r="G171" s="429">
        <f t="shared" si="4"/>
        <v>42294.636450314385</v>
      </c>
      <c r="H171" s="429">
        <f t="shared" si="7"/>
        <v>21070.198558173743</v>
      </c>
      <c r="I171" s="429">
        <f t="shared" si="5"/>
        <v>5014553.0175113836</v>
      </c>
      <c r="J171" s="429">
        <f>SUM($H$18:$H171)</f>
        <v>4938080.2788185515</v>
      </c>
    </row>
    <row r="172" spans="1:10" ht="15" customHeight="1" x14ac:dyDescent="0.15">
      <c r="A172" s="427">
        <v>155</v>
      </c>
      <c r="B172" s="428">
        <f t="shared" si="0"/>
        <v>47088</v>
      </c>
      <c r="C172" s="429">
        <f t="shared" si="9"/>
        <v>5014553.0175113836</v>
      </c>
      <c r="D172" s="429">
        <f t="shared" si="1"/>
        <v>63364.835008488124</v>
      </c>
      <c r="E172" s="430">
        <f t="shared" si="2"/>
        <v>0</v>
      </c>
      <c r="F172" s="429">
        <f t="shared" si="3"/>
        <v>63364.835008488124</v>
      </c>
      <c r="G172" s="429">
        <f t="shared" si="4"/>
        <v>42470.864102190695</v>
      </c>
      <c r="H172" s="429">
        <f t="shared" si="7"/>
        <v>20893.970906297433</v>
      </c>
      <c r="I172" s="429">
        <f t="shared" si="5"/>
        <v>4972082.1534091933</v>
      </c>
      <c r="J172" s="429">
        <f>SUM($H$18:$H172)</f>
        <v>4958974.2497248491</v>
      </c>
    </row>
    <row r="173" spans="1:10" ht="15" customHeight="1" x14ac:dyDescent="0.15">
      <c r="A173" s="427">
        <v>156</v>
      </c>
      <c r="B173" s="428">
        <f t="shared" si="0"/>
        <v>47119</v>
      </c>
      <c r="C173" s="429">
        <f t="shared" si="9"/>
        <v>4972082.1534091933</v>
      </c>
      <c r="D173" s="429">
        <f t="shared" si="1"/>
        <v>63364.835008488124</v>
      </c>
      <c r="E173" s="430">
        <f t="shared" si="2"/>
        <v>0</v>
      </c>
      <c r="F173" s="429">
        <f t="shared" si="3"/>
        <v>63364.835008488124</v>
      </c>
      <c r="G173" s="429">
        <f t="shared" si="4"/>
        <v>42647.826035949824</v>
      </c>
      <c r="H173" s="429">
        <f t="shared" si="7"/>
        <v>20717.008972538304</v>
      </c>
      <c r="I173" s="429">
        <f t="shared" si="5"/>
        <v>4929434.3273732439</v>
      </c>
      <c r="J173" s="429">
        <f>SUM($H$18:$H173)</f>
        <v>4979691.2586973878</v>
      </c>
    </row>
    <row r="174" spans="1:10" ht="15" customHeight="1" x14ac:dyDescent="0.15">
      <c r="A174" s="427">
        <v>157</v>
      </c>
      <c r="B174" s="428">
        <f t="shared" si="0"/>
        <v>47150</v>
      </c>
      <c r="C174" s="429">
        <f t="shared" si="9"/>
        <v>4929434.3273732439</v>
      </c>
      <c r="D174" s="429">
        <f t="shared" si="1"/>
        <v>63364.835008488124</v>
      </c>
      <c r="E174" s="430">
        <f t="shared" si="2"/>
        <v>0</v>
      </c>
      <c r="F174" s="429">
        <f t="shared" si="3"/>
        <v>63364.835008488124</v>
      </c>
      <c r="G174" s="429">
        <f t="shared" si="4"/>
        <v>42825.525311099613</v>
      </c>
      <c r="H174" s="429">
        <f t="shared" si="7"/>
        <v>20539.309697388515</v>
      </c>
      <c r="I174" s="429">
        <f t="shared" si="5"/>
        <v>4886608.8020621445</v>
      </c>
      <c r="J174" s="429">
        <f>SUM($H$18:$H174)</f>
        <v>5000230.5683947764</v>
      </c>
    </row>
    <row r="175" spans="1:10" ht="15" customHeight="1" x14ac:dyDescent="0.15">
      <c r="A175" s="427">
        <v>158</v>
      </c>
      <c r="B175" s="428">
        <f t="shared" si="0"/>
        <v>47178</v>
      </c>
      <c r="C175" s="429">
        <f t="shared" si="9"/>
        <v>4886608.8020621445</v>
      </c>
      <c r="D175" s="429">
        <f t="shared" si="1"/>
        <v>63364.835008488124</v>
      </c>
      <c r="E175" s="430">
        <f t="shared" si="2"/>
        <v>0</v>
      </c>
      <c r="F175" s="429">
        <f t="shared" si="3"/>
        <v>63364.835008488124</v>
      </c>
      <c r="G175" s="429">
        <f t="shared" si="4"/>
        <v>43003.964999895848</v>
      </c>
      <c r="H175" s="429">
        <f t="shared" si="7"/>
        <v>20360.870008592272</v>
      </c>
      <c r="I175" s="429">
        <f t="shared" si="5"/>
        <v>4843604.837062249</v>
      </c>
      <c r="J175" s="429">
        <f>SUM($H$18:$H175)</f>
        <v>5020591.4384033689</v>
      </c>
    </row>
    <row r="176" spans="1:10" ht="15" customHeight="1" x14ac:dyDescent="0.15">
      <c r="A176" s="427">
        <v>159</v>
      </c>
      <c r="B176" s="428">
        <f t="shared" si="0"/>
        <v>47209</v>
      </c>
      <c r="C176" s="429">
        <f t="shared" si="9"/>
        <v>4843604.837062249</v>
      </c>
      <c r="D176" s="429">
        <f t="shared" si="1"/>
        <v>63364.835008488124</v>
      </c>
      <c r="E176" s="430">
        <f t="shared" si="2"/>
        <v>0</v>
      </c>
      <c r="F176" s="429">
        <f t="shared" si="3"/>
        <v>63364.835008488124</v>
      </c>
      <c r="G176" s="429">
        <f t="shared" si="4"/>
        <v>43183.148187395418</v>
      </c>
      <c r="H176" s="429">
        <f t="shared" si="7"/>
        <v>20181.686821092706</v>
      </c>
      <c r="I176" s="429">
        <f t="shared" si="5"/>
        <v>4800421.6888748538</v>
      </c>
      <c r="J176" s="429">
        <f>SUM($H$18:$H176)</f>
        <v>5040773.1252244618</v>
      </c>
    </row>
    <row r="177" spans="1:10" ht="15" customHeight="1" x14ac:dyDescent="0.15">
      <c r="A177" s="427">
        <v>160</v>
      </c>
      <c r="B177" s="428">
        <f t="shared" si="0"/>
        <v>47239</v>
      </c>
      <c r="C177" s="429">
        <f t="shared" si="9"/>
        <v>4800421.6888748538</v>
      </c>
      <c r="D177" s="429">
        <f t="shared" si="1"/>
        <v>63364.835008488124</v>
      </c>
      <c r="E177" s="430">
        <f t="shared" si="2"/>
        <v>0</v>
      </c>
      <c r="F177" s="429">
        <f t="shared" si="3"/>
        <v>63364.835008488124</v>
      </c>
      <c r="G177" s="429">
        <f t="shared" si="4"/>
        <v>43363.07797150957</v>
      </c>
      <c r="H177" s="429">
        <f t="shared" si="7"/>
        <v>20001.757036978557</v>
      </c>
      <c r="I177" s="429">
        <f t="shared" si="5"/>
        <v>4757058.6109033441</v>
      </c>
      <c r="J177" s="429">
        <f>SUM($H$18:$H177)</f>
        <v>5060774.8822614402</v>
      </c>
    </row>
    <row r="178" spans="1:10" ht="15" customHeight="1" x14ac:dyDescent="0.15">
      <c r="A178" s="427">
        <v>161</v>
      </c>
      <c r="B178" s="428">
        <f t="shared" si="0"/>
        <v>47270</v>
      </c>
      <c r="C178" s="429">
        <f t="shared" si="9"/>
        <v>4757058.6109033441</v>
      </c>
      <c r="D178" s="429">
        <f t="shared" si="1"/>
        <v>63364.835008488124</v>
      </c>
      <c r="E178" s="430">
        <f t="shared" si="2"/>
        <v>0</v>
      </c>
      <c r="F178" s="429">
        <f t="shared" si="3"/>
        <v>63364.835008488124</v>
      </c>
      <c r="G178" s="429">
        <f t="shared" si="4"/>
        <v>43543.757463057525</v>
      </c>
      <c r="H178" s="429">
        <f t="shared" si="7"/>
        <v>19821.077545430602</v>
      </c>
      <c r="I178" s="429">
        <f t="shared" si="5"/>
        <v>4713514.8534402866</v>
      </c>
      <c r="J178" s="429">
        <f>SUM($H$18:$H178)</f>
        <v>5080595.9598068707</v>
      </c>
    </row>
    <row r="179" spans="1:10" ht="15" customHeight="1" x14ac:dyDescent="0.15">
      <c r="A179" s="427">
        <v>162</v>
      </c>
      <c r="B179" s="428">
        <f t="shared" si="0"/>
        <v>47300</v>
      </c>
      <c r="C179" s="429">
        <f t="shared" si="9"/>
        <v>4713514.8534402866</v>
      </c>
      <c r="D179" s="429">
        <f t="shared" si="1"/>
        <v>63364.835008488124</v>
      </c>
      <c r="E179" s="430">
        <f t="shared" si="2"/>
        <v>0</v>
      </c>
      <c r="F179" s="429">
        <f t="shared" si="3"/>
        <v>63364.835008488124</v>
      </c>
      <c r="G179" s="429">
        <f t="shared" si="4"/>
        <v>43725.189785820257</v>
      </c>
      <c r="H179" s="429">
        <f t="shared" si="7"/>
        <v>19639.645222667863</v>
      </c>
      <c r="I179" s="429">
        <f t="shared" si="5"/>
        <v>4669789.6636544662</v>
      </c>
      <c r="J179" s="429">
        <f>SUM($H$18:$H179)</f>
        <v>5100235.6050295383</v>
      </c>
    </row>
    <row r="180" spans="1:10" ht="15" customHeight="1" x14ac:dyDescent="0.15">
      <c r="A180" s="427">
        <v>163</v>
      </c>
      <c r="B180" s="428">
        <f t="shared" si="0"/>
        <v>47331</v>
      </c>
      <c r="C180" s="429">
        <f t="shared" si="9"/>
        <v>4669789.6636544662</v>
      </c>
      <c r="D180" s="429">
        <f t="shared" si="1"/>
        <v>63364.835008488124</v>
      </c>
      <c r="E180" s="430">
        <f t="shared" si="2"/>
        <v>0</v>
      </c>
      <c r="F180" s="429">
        <f t="shared" si="3"/>
        <v>63364.835008488124</v>
      </c>
      <c r="G180" s="429">
        <f t="shared" si="4"/>
        <v>43907.378076594512</v>
      </c>
      <c r="H180" s="429">
        <f t="shared" si="7"/>
        <v>19457.456931893608</v>
      </c>
      <c r="I180" s="429">
        <f t="shared" si="5"/>
        <v>4625882.2855778718</v>
      </c>
      <c r="J180" s="429">
        <f>SUM($H$18:$H180)</f>
        <v>5119693.061961432</v>
      </c>
    </row>
    <row r="181" spans="1:10" ht="15" customHeight="1" x14ac:dyDescent="0.15">
      <c r="A181" s="427">
        <v>164</v>
      </c>
      <c r="B181" s="428">
        <f t="shared" si="0"/>
        <v>47362</v>
      </c>
      <c r="C181" s="429">
        <f t="shared" si="9"/>
        <v>4625882.2855778718</v>
      </c>
      <c r="D181" s="429">
        <f t="shared" si="1"/>
        <v>63364.835008488124</v>
      </c>
      <c r="E181" s="430">
        <f t="shared" si="2"/>
        <v>0</v>
      </c>
      <c r="F181" s="429">
        <f t="shared" si="3"/>
        <v>63364.835008488124</v>
      </c>
      <c r="G181" s="429">
        <f t="shared" si="4"/>
        <v>44090.325485246991</v>
      </c>
      <c r="H181" s="429">
        <f t="shared" si="7"/>
        <v>19274.509523241133</v>
      </c>
      <c r="I181" s="429">
        <f t="shared" si="5"/>
        <v>4581791.9600926246</v>
      </c>
      <c r="J181" s="429">
        <f>SUM($H$18:$H181)</f>
        <v>5138967.5714846728</v>
      </c>
    </row>
    <row r="182" spans="1:10" ht="15" customHeight="1" x14ac:dyDescent="0.15">
      <c r="A182" s="427">
        <v>165</v>
      </c>
      <c r="B182" s="428">
        <f t="shared" si="0"/>
        <v>47392</v>
      </c>
      <c r="C182" s="429">
        <f t="shared" si="9"/>
        <v>4581791.9600926246</v>
      </c>
      <c r="D182" s="429">
        <f t="shared" si="1"/>
        <v>63364.835008488124</v>
      </c>
      <c r="E182" s="430">
        <f t="shared" si="2"/>
        <v>0</v>
      </c>
      <c r="F182" s="429">
        <f t="shared" si="3"/>
        <v>63364.835008488124</v>
      </c>
      <c r="G182" s="429">
        <f t="shared" si="4"/>
        <v>44274.035174768855</v>
      </c>
      <c r="H182" s="429">
        <f t="shared" si="7"/>
        <v>19090.799833719269</v>
      </c>
      <c r="I182" s="429">
        <f t="shared" si="5"/>
        <v>4537517.9249178562</v>
      </c>
      <c r="J182" s="429">
        <f>SUM($H$18:$H182)</f>
        <v>5158058.3713183925</v>
      </c>
    </row>
    <row r="183" spans="1:10" ht="15" customHeight="1" x14ac:dyDescent="0.15">
      <c r="A183" s="427">
        <v>166</v>
      </c>
      <c r="B183" s="428">
        <f t="shared" si="0"/>
        <v>47423</v>
      </c>
      <c r="C183" s="429">
        <f t="shared" si="9"/>
        <v>4537517.9249178562</v>
      </c>
      <c r="D183" s="429">
        <f t="shared" si="1"/>
        <v>63364.835008488124</v>
      </c>
      <c r="E183" s="430">
        <f t="shared" si="2"/>
        <v>0</v>
      </c>
      <c r="F183" s="429">
        <f t="shared" si="3"/>
        <v>63364.835008488124</v>
      </c>
      <c r="G183" s="429">
        <f t="shared" si="4"/>
        <v>44458.510321330388</v>
      </c>
      <c r="H183" s="429">
        <f t="shared" si="7"/>
        <v>18906.324687157736</v>
      </c>
      <c r="I183" s="429">
        <f t="shared" si="5"/>
        <v>4493059.414596526</v>
      </c>
      <c r="J183" s="429">
        <f>SUM($H$18:$H183)</f>
        <v>5176964.6960055502</v>
      </c>
    </row>
    <row r="184" spans="1:10" ht="15" customHeight="1" x14ac:dyDescent="0.15">
      <c r="A184" s="427">
        <v>167</v>
      </c>
      <c r="B184" s="428">
        <f t="shared" si="0"/>
        <v>47453</v>
      </c>
      <c r="C184" s="429">
        <f t="shared" si="9"/>
        <v>4493059.414596526</v>
      </c>
      <c r="D184" s="429">
        <f t="shared" si="1"/>
        <v>63364.835008488124</v>
      </c>
      <c r="E184" s="430">
        <f t="shared" si="2"/>
        <v>0</v>
      </c>
      <c r="F184" s="429">
        <f t="shared" si="3"/>
        <v>63364.835008488124</v>
      </c>
      <c r="G184" s="429">
        <f t="shared" si="4"/>
        <v>44643.754114335927</v>
      </c>
      <c r="H184" s="429">
        <f t="shared" si="7"/>
        <v>18721.080894152194</v>
      </c>
      <c r="I184" s="429">
        <f t="shared" si="5"/>
        <v>4448415.6604821896</v>
      </c>
      <c r="J184" s="429">
        <f>SUM($H$18:$H184)</f>
        <v>5195685.7768997028</v>
      </c>
    </row>
    <row r="185" spans="1:10" ht="15" customHeight="1" x14ac:dyDescent="0.15">
      <c r="A185" s="427">
        <v>168</v>
      </c>
      <c r="B185" s="428">
        <f t="shared" si="0"/>
        <v>47484</v>
      </c>
      <c r="C185" s="429">
        <f t="shared" si="9"/>
        <v>4448415.6604821896</v>
      </c>
      <c r="D185" s="429">
        <f t="shared" si="1"/>
        <v>63364.835008488124</v>
      </c>
      <c r="E185" s="430">
        <f t="shared" si="2"/>
        <v>0</v>
      </c>
      <c r="F185" s="429">
        <f t="shared" si="3"/>
        <v>63364.835008488124</v>
      </c>
      <c r="G185" s="429">
        <f t="shared" si="4"/>
        <v>44829.769756479</v>
      </c>
      <c r="H185" s="429">
        <f t="shared" si="7"/>
        <v>18535.065252009124</v>
      </c>
      <c r="I185" s="429">
        <f t="shared" si="5"/>
        <v>4403585.8907257104</v>
      </c>
      <c r="J185" s="429">
        <f>SUM($H$18:$H185)</f>
        <v>5214220.8421517117</v>
      </c>
    </row>
    <row r="186" spans="1:10" ht="15" customHeight="1" x14ac:dyDescent="0.15">
      <c r="A186" s="427">
        <v>169</v>
      </c>
      <c r="B186" s="428">
        <f t="shared" si="0"/>
        <v>47515</v>
      </c>
      <c r="C186" s="429">
        <f t="shared" si="9"/>
        <v>4403585.8907257104</v>
      </c>
      <c r="D186" s="429">
        <f t="shared" si="1"/>
        <v>63364.835008488124</v>
      </c>
      <c r="E186" s="430">
        <f t="shared" si="2"/>
        <v>0</v>
      </c>
      <c r="F186" s="429">
        <f t="shared" si="3"/>
        <v>63364.835008488124</v>
      </c>
      <c r="G186" s="429">
        <f t="shared" si="4"/>
        <v>45016.560463797665</v>
      </c>
      <c r="H186" s="429">
        <f t="shared" si="7"/>
        <v>18348.274544690463</v>
      </c>
      <c r="I186" s="429">
        <f t="shared" si="5"/>
        <v>4358569.3302619131</v>
      </c>
      <c r="J186" s="429">
        <f>SUM($H$18:$H186)</f>
        <v>5232569.1166964024</v>
      </c>
    </row>
    <row r="187" spans="1:10" ht="15" customHeight="1" x14ac:dyDescent="0.15">
      <c r="A187" s="427">
        <v>170</v>
      </c>
      <c r="B187" s="428">
        <f t="shared" si="0"/>
        <v>47543</v>
      </c>
      <c r="C187" s="429">
        <f t="shared" si="9"/>
        <v>4358569.3302619131</v>
      </c>
      <c r="D187" s="429">
        <f t="shared" si="1"/>
        <v>63364.835008488124</v>
      </c>
      <c r="E187" s="430">
        <f t="shared" si="2"/>
        <v>0</v>
      </c>
      <c r="F187" s="429">
        <f t="shared" si="3"/>
        <v>63364.835008488124</v>
      </c>
      <c r="G187" s="429">
        <f t="shared" si="4"/>
        <v>45204.129465730148</v>
      </c>
      <c r="H187" s="429">
        <f t="shared" si="7"/>
        <v>18160.705542757973</v>
      </c>
      <c r="I187" s="429">
        <f t="shared" si="5"/>
        <v>4313365.2007961832</v>
      </c>
      <c r="J187" s="429">
        <f>SUM($H$18:$H187)</f>
        <v>5250729.8222391605</v>
      </c>
    </row>
    <row r="188" spans="1:10" ht="15" customHeight="1" x14ac:dyDescent="0.15">
      <c r="A188" s="427">
        <v>171</v>
      </c>
      <c r="B188" s="428">
        <f t="shared" si="0"/>
        <v>47574</v>
      </c>
      <c r="C188" s="429">
        <f t="shared" si="9"/>
        <v>4313365.2007961832</v>
      </c>
      <c r="D188" s="429">
        <f t="shared" si="1"/>
        <v>63364.835008488124</v>
      </c>
      <c r="E188" s="430">
        <f t="shared" si="2"/>
        <v>0</v>
      </c>
      <c r="F188" s="429">
        <f t="shared" si="3"/>
        <v>63364.835008488124</v>
      </c>
      <c r="G188" s="429">
        <f t="shared" si="4"/>
        <v>45392.480005170699</v>
      </c>
      <c r="H188" s="429">
        <f t="shared" si="7"/>
        <v>17972.355003317429</v>
      </c>
      <c r="I188" s="429">
        <f t="shared" si="5"/>
        <v>4267972.720791012</v>
      </c>
      <c r="J188" s="429">
        <f>SUM($H$18:$H188)</f>
        <v>5268702.1772424784</v>
      </c>
    </row>
    <row r="189" spans="1:10" ht="15" customHeight="1" x14ac:dyDescent="0.15">
      <c r="A189" s="427">
        <v>172</v>
      </c>
      <c r="B189" s="428">
        <f t="shared" si="0"/>
        <v>47604</v>
      </c>
      <c r="C189" s="429">
        <f t="shared" si="9"/>
        <v>4267972.720791012</v>
      </c>
      <c r="D189" s="429">
        <f t="shared" si="1"/>
        <v>63364.835008488124</v>
      </c>
      <c r="E189" s="430">
        <f t="shared" si="2"/>
        <v>0</v>
      </c>
      <c r="F189" s="429">
        <f t="shared" si="3"/>
        <v>63364.835008488124</v>
      </c>
      <c r="G189" s="429">
        <f t="shared" si="4"/>
        <v>45581.615338525575</v>
      </c>
      <c r="H189" s="429">
        <f t="shared" si="7"/>
        <v>17783.219669962553</v>
      </c>
      <c r="I189" s="429">
        <f t="shared" si="5"/>
        <v>4222391.1054524863</v>
      </c>
      <c r="J189" s="429">
        <f>SUM($H$18:$H189)</f>
        <v>5286485.3969124407</v>
      </c>
    </row>
    <row r="190" spans="1:10" ht="15" customHeight="1" x14ac:dyDescent="0.15">
      <c r="A190" s="427">
        <v>173</v>
      </c>
      <c r="B190" s="428">
        <f t="shared" si="0"/>
        <v>47635</v>
      </c>
      <c r="C190" s="429">
        <f t="shared" si="9"/>
        <v>4222391.1054524863</v>
      </c>
      <c r="D190" s="429">
        <f t="shared" si="1"/>
        <v>63364.835008488124</v>
      </c>
      <c r="E190" s="430">
        <f t="shared" si="2"/>
        <v>0</v>
      </c>
      <c r="F190" s="429">
        <f t="shared" si="3"/>
        <v>63364.835008488124</v>
      </c>
      <c r="G190" s="429">
        <f t="shared" si="4"/>
        <v>45771.538735769427</v>
      </c>
      <c r="H190" s="429">
        <f t="shared" si="7"/>
        <v>17593.296272718693</v>
      </c>
      <c r="I190" s="429">
        <f t="shared" si="5"/>
        <v>4176619.5667167171</v>
      </c>
      <c r="J190" s="429">
        <f>SUM($H$18:$H190)</f>
        <v>5304078.693185159</v>
      </c>
    </row>
    <row r="191" spans="1:10" ht="15" customHeight="1" x14ac:dyDescent="0.15">
      <c r="A191" s="427">
        <v>174</v>
      </c>
      <c r="B191" s="428">
        <f t="shared" si="0"/>
        <v>47665</v>
      </c>
      <c r="C191" s="429">
        <f t="shared" si="9"/>
        <v>4176619.5667167171</v>
      </c>
      <c r="D191" s="429">
        <f t="shared" si="1"/>
        <v>63364.835008488124</v>
      </c>
      <c r="E191" s="430">
        <f t="shared" si="2"/>
        <v>0</v>
      </c>
      <c r="F191" s="429">
        <f t="shared" si="3"/>
        <v>63364.835008488124</v>
      </c>
      <c r="G191" s="429">
        <f t="shared" si="4"/>
        <v>45962.253480501808</v>
      </c>
      <c r="H191" s="429">
        <f t="shared" si="7"/>
        <v>17402.58152798632</v>
      </c>
      <c r="I191" s="429">
        <f t="shared" si="5"/>
        <v>4130657.3132362152</v>
      </c>
      <c r="J191" s="429">
        <f>SUM($H$18:$H191)</f>
        <v>5321481.2747131456</v>
      </c>
    </row>
    <row r="192" spans="1:10" ht="15" customHeight="1" x14ac:dyDescent="0.15">
      <c r="A192" s="427">
        <v>175</v>
      </c>
      <c r="B192" s="428">
        <f t="shared" si="0"/>
        <v>47696</v>
      </c>
      <c r="C192" s="429">
        <f t="shared" si="9"/>
        <v>4130657.3132362152</v>
      </c>
      <c r="D192" s="429">
        <f t="shared" si="1"/>
        <v>63364.835008488124</v>
      </c>
      <c r="E192" s="430">
        <f t="shared" si="2"/>
        <v>0</v>
      </c>
      <c r="F192" s="429">
        <f t="shared" si="3"/>
        <v>63364.835008488124</v>
      </c>
      <c r="G192" s="429">
        <f t="shared" si="4"/>
        <v>46153.762870003891</v>
      </c>
      <c r="H192" s="429">
        <f t="shared" si="7"/>
        <v>17211.072138484229</v>
      </c>
      <c r="I192" s="429">
        <f t="shared" si="5"/>
        <v>4084503.5503662112</v>
      </c>
      <c r="J192" s="429">
        <f>SUM($H$18:$H192)</f>
        <v>5338692.3468516301</v>
      </c>
    </row>
    <row r="193" spans="1:10" ht="15" customHeight="1" x14ac:dyDescent="0.15">
      <c r="A193" s="427">
        <v>176</v>
      </c>
      <c r="B193" s="428">
        <f t="shared" si="0"/>
        <v>47727</v>
      </c>
      <c r="C193" s="429">
        <f t="shared" si="9"/>
        <v>4084503.5503662112</v>
      </c>
      <c r="D193" s="429">
        <f t="shared" si="1"/>
        <v>63364.835008488124</v>
      </c>
      <c r="E193" s="430">
        <f t="shared" si="2"/>
        <v>0</v>
      </c>
      <c r="F193" s="429">
        <f t="shared" si="3"/>
        <v>63364.835008488124</v>
      </c>
      <c r="G193" s="429">
        <f t="shared" si="4"/>
        <v>46346.070215295578</v>
      </c>
      <c r="H193" s="429">
        <f t="shared" si="7"/>
        <v>17018.764793192549</v>
      </c>
      <c r="I193" s="429">
        <f t="shared" si="5"/>
        <v>4038157.4801509157</v>
      </c>
      <c r="J193" s="429">
        <f>SUM($H$18:$H193)</f>
        <v>5355711.1116448231</v>
      </c>
    </row>
    <row r="194" spans="1:10" ht="15" customHeight="1" x14ac:dyDescent="0.15">
      <c r="A194" s="427">
        <v>177</v>
      </c>
      <c r="B194" s="428">
        <f t="shared" si="0"/>
        <v>47757</v>
      </c>
      <c r="C194" s="429">
        <f t="shared" si="9"/>
        <v>4038157.4801509157</v>
      </c>
      <c r="D194" s="429">
        <f t="shared" si="1"/>
        <v>63364.835008488124</v>
      </c>
      <c r="E194" s="430">
        <f t="shared" si="2"/>
        <v>0</v>
      </c>
      <c r="F194" s="429">
        <f t="shared" si="3"/>
        <v>63364.835008488124</v>
      </c>
      <c r="G194" s="429">
        <f t="shared" si="4"/>
        <v>46539.178841192639</v>
      </c>
      <c r="H194" s="429">
        <f t="shared" si="7"/>
        <v>16825.656167295481</v>
      </c>
      <c r="I194" s="429">
        <f t="shared" si="5"/>
        <v>3991618.3013097229</v>
      </c>
      <c r="J194" s="429">
        <f>SUM($H$18:$H194)</f>
        <v>5372536.7678121189</v>
      </c>
    </row>
    <row r="195" spans="1:10" ht="15" customHeight="1" x14ac:dyDescent="0.15">
      <c r="A195" s="427">
        <v>178</v>
      </c>
      <c r="B195" s="428">
        <f t="shared" si="0"/>
        <v>47788</v>
      </c>
      <c r="C195" s="429">
        <f t="shared" si="9"/>
        <v>3991618.3013097229</v>
      </c>
      <c r="D195" s="429">
        <f t="shared" si="1"/>
        <v>63364.835008488124</v>
      </c>
      <c r="E195" s="430">
        <f t="shared" si="2"/>
        <v>0</v>
      </c>
      <c r="F195" s="429">
        <f t="shared" si="3"/>
        <v>63364.835008488124</v>
      </c>
      <c r="G195" s="429">
        <f t="shared" si="4"/>
        <v>46733.092086364282</v>
      </c>
      <c r="H195" s="429">
        <f t="shared" si="7"/>
        <v>16631.742922123845</v>
      </c>
      <c r="I195" s="429">
        <f t="shared" si="5"/>
        <v>3944885.2092233589</v>
      </c>
      <c r="J195" s="429">
        <f>SUM($H$18:$H195)</f>
        <v>5389168.5107342424</v>
      </c>
    </row>
    <row r="196" spans="1:10" ht="15" customHeight="1" x14ac:dyDescent="0.15">
      <c r="A196" s="427">
        <v>179</v>
      </c>
      <c r="B196" s="428">
        <f t="shared" si="0"/>
        <v>47818</v>
      </c>
      <c r="C196" s="429">
        <f t="shared" si="9"/>
        <v>3944885.2092233589</v>
      </c>
      <c r="D196" s="429">
        <f t="shared" si="1"/>
        <v>63364.835008488124</v>
      </c>
      <c r="E196" s="430">
        <f t="shared" si="2"/>
        <v>0</v>
      </c>
      <c r="F196" s="429">
        <f t="shared" si="3"/>
        <v>63364.835008488124</v>
      </c>
      <c r="G196" s="429">
        <f t="shared" si="4"/>
        <v>46927.813303390794</v>
      </c>
      <c r="H196" s="429">
        <f t="shared" si="7"/>
        <v>16437.02170509733</v>
      </c>
      <c r="I196" s="429">
        <f t="shared" si="5"/>
        <v>3897957.3959199679</v>
      </c>
      <c r="J196" s="429">
        <f>SUM($H$18:$H196)</f>
        <v>5405605.5324393399</v>
      </c>
    </row>
    <row r="197" spans="1:10" ht="15" customHeight="1" x14ac:dyDescent="0.15">
      <c r="A197" s="427">
        <v>180</v>
      </c>
      <c r="B197" s="428">
        <f t="shared" si="0"/>
        <v>47849</v>
      </c>
      <c r="C197" s="429">
        <f t="shared" si="9"/>
        <v>3897957.3959199679</v>
      </c>
      <c r="D197" s="429">
        <f t="shared" si="1"/>
        <v>63364.835008488124</v>
      </c>
      <c r="E197" s="430">
        <f t="shared" si="2"/>
        <v>0</v>
      </c>
      <c r="F197" s="429">
        <f t="shared" si="3"/>
        <v>63364.835008488124</v>
      </c>
      <c r="G197" s="429">
        <f t="shared" si="4"/>
        <v>47123.345858821587</v>
      </c>
      <c r="H197" s="429">
        <f t="shared" si="7"/>
        <v>16241.489149666535</v>
      </c>
      <c r="I197" s="429">
        <f t="shared" si="5"/>
        <v>3850834.0500611463</v>
      </c>
      <c r="J197" s="429">
        <f>SUM($H$18:$H197)</f>
        <v>5421847.0215890063</v>
      </c>
    </row>
    <row r="198" spans="1:10" ht="15" customHeight="1" x14ac:dyDescent="0.15">
      <c r="A198" s="427">
        <v>181</v>
      </c>
      <c r="B198" s="428">
        <f t="shared" si="0"/>
        <v>47880</v>
      </c>
      <c r="C198" s="429">
        <f t="shared" si="9"/>
        <v>3850834.0500611463</v>
      </c>
      <c r="D198" s="429">
        <f t="shared" si="1"/>
        <v>63364.835008488124</v>
      </c>
      <c r="E198" s="430">
        <f t="shared" si="2"/>
        <v>0</v>
      </c>
      <c r="F198" s="429">
        <f t="shared" si="3"/>
        <v>63364.835008488124</v>
      </c>
      <c r="G198" s="429">
        <f t="shared" si="4"/>
        <v>47319.693133233348</v>
      </c>
      <c r="H198" s="429">
        <f t="shared" si="7"/>
        <v>16045.141875254776</v>
      </c>
      <c r="I198" s="429">
        <f t="shared" si="5"/>
        <v>3803514.3569279127</v>
      </c>
      <c r="J198" s="429">
        <f>SUM($H$18:$H198)</f>
        <v>5437892.1634642612</v>
      </c>
    </row>
    <row r="199" spans="1:10" ht="15" customHeight="1" x14ac:dyDescent="0.15">
      <c r="A199" s="427">
        <v>182</v>
      </c>
      <c r="B199" s="428">
        <f t="shared" si="0"/>
        <v>47908</v>
      </c>
      <c r="C199" s="429">
        <f t="shared" si="9"/>
        <v>3803514.3569279127</v>
      </c>
      <c r="D199" s="429">
        <f t="shared" si="1"/>
        <v>63364.835008488124</v>
      </c>
      <c r="E199" s="430">
        <f t="shared" si="2"/>
        <v>0</v>
      </c>
      <c r="F199" s="429">
        <f t="shared" si="3"/>
        <v>63364.835008488124</v>
      </c>
      <c r="G199" s="429">
        <f t="shared" si="4"/>
        <v>47516.858521288486</v>
      </c>
      <c r="H199" s="429">
        <f t="shared" si="7"/>
        <v>15847.976487199638</v>
      </c>
      <c r="I199" s="429">
        <f t="shared" si="5"/>
        <v>3755997.4984066244</v>
      </c>
      <c r="J199" s="429">
        <f>SUM($H$18:$H199)</f>
        <v>5453740.139951461</v>
      </c>
    </row>
    <row r="200" spans="1:10" ht="15" customHeight="1" x14ac:dyDescent="0.15">
      <c r="A200" s="427">
        <v>183</v>
      </c>
      <c r="B200" s="428">
        <f t="shared" si="0"/>
        <v>47939</v>
      </c>
      <c r="C200" s="429">
        <f t="shared" si="9"/>
        <v>3755997.4984066244</v>
      </c>
      <c r="D200" s="429">
        <f t="shared" si="1"/>
        <v>63364.835008488124</v>
      </c>
      <c r="E200" s="430">
        <f t="shared" si="2"/>
        <v>0</v>
      </c>
      <c r="F200" s="429">
        <f t="shared" si="3"/>
        <v>63364.835008488124</v>
      </c>
      <c r="G200" s="429">
        <f t="shared" si="4"/>
        <v>47714.845431793852</v>
      </c>
      <c r="H200" s="429">
        <f t="shared" si="7"/>
        <v>15649.98957669427</v>
      </c>
      <c r="I200" s="429">
        <f t="shared" si="5"/>
        <v>3708282.6529748305</v>
      </c>
      <c r="J200" s="429">
        <f>SUM($H$18:$H200)</f>
        <v>5469390.1295281556</v>
      </c>
    </row>
    <row r="201" spans="1:10" ht="15" customHeight="1" x14ac:dyDescent="0.15">
      <c r="A201" s="427">
        <v>184</v>
      </c>
      <c r="B201" s="428">
        <f t="shared" si="0"/>
        <v>47969</v>
      </c>
      <c r="C201" s="429">
        <f t="shared" si="9"/>
        <v>3708282.6529748305</v>
      </c>
      <c r="D201" s="429">
        <f t="shared" si="1"/>
        <v>63364.835008488124</v>
      </c>
      <c r="E201" s="430">
        <f t="shared" si="2"/>
        <v>0</v>
      </c>
      <c r="F201" s="429">
        <f t="shared" si="3"/>
        <v>63364.835008488124</v>
      </c>
      <c r="G201" s="429">
        <f t="shared" si="4"/>
        <v>47913.657287759663</v>
      </c>
      <c r="H201" s="429">
        <f t="shared" si="7"/>
        <v>15451.177720728461</v>
      </c>
      <c r="I201" s="429">
        <f t="shared" si="5"/>
        <v>3660368.9956870708</v>
      </c>
      <c r="J201" s="429">
        <f>SUM($H$18:$H201)</f>
        <v>5484841.3072488839</v>
      </c>
    </row>
    <row r="202" spans="1:10" ht="15" customHeight="1" x14ac:dyDescent="0.15">
      <c r="A202" s="427">
        <v>185</v>
      </c>
      <c r="B202" s="428">
        <f t="shared" si="0"/>
        <v>48000</v>
      </c>
      <c r="C202" s="429">
        <f t="shared" si="9"/>
        <v>3660368.9956870708</v>
      </c>
      <c r="D202" s="429">
        <f t="shared" si="1"/>
        <v>63364.835008488124</v>
      </c>
      <c r="E202" s="430">
        <f t="shared" si="2"/>
        <v>0</v>
      </c>
      <c r="F202" s="429">
        <f t="shared" si="3"/>
        <v>63364.835008488124</v>
      </c>
      <c r="G202" s="429">
        <f t="shared" si="4"/>
        <v>48113.297526458664</v>
      </c>
      <c r="H202" s="429">
        <f t="shared" si="7"/>
        <v>15251.537482029462</v>
      </c>
      <c r="I202" s="429">
        <f t="shared" si="5"/>
        <v>3612255.698160612</v>
      </c>
      <c r="J202" s="429">
        <f>SUM($H$18:$H202)</f>
        <v>5500092.8447309136</v>
      </c>
    </row>
    <row r="203" spans="1:10" ht="15" customHeight="1" x14ac:dyDescent="0.15">
      <c r="A203" s="427">
        <v>186</v>
      </c>
      <c r="B203" s="428">
        <f t="shared" si="0"/>
        <v>48030</v>
      </c>
      <c r="C203" s="429">
        <f t="shared" si="9"/>
        <v>3612255.698160612</v>
      </c>
      <c r="D203" s="429">
        <f t="shared" si="1"/>
        <v>63364.835008488124</v>
      </c>
      <c r="E203" s="430">
        <f t="shared" si="2"/>
        <v>0</v>
      </c>
      <c r="F203" s="429">
        <f t="shared" si="3"/>
        <v>63364.835008488124</v>
      </c>
      <c r="G203" s="429">
        <f t="shared" si="4"/>
        <v>48313.769599485575</v>
      </c>
      <c r="H203" s="429">
        <f t="shared" si="7"/>
        <v>15051.065409002551</v>
      </c>
      <c r="I203" s="429">
        <f t="shared" si="5"/>
        <v>3563941.9285611263</v>
      </c>
      <c r="J203" s="429">
        <f>SUM($H$18:$H203)</f>
        <v>5515143.9101399165</v>
      </c>
    </row>
    <row r="204" spans="1:10" ht="15" customHeight="1" x14ac:dyDescent="0.15">
      <c r="A204" s="427">
        <v>187</v>
      </c>
      <c r="B204" s="428">
        <f t="shared" si="0"/>
        <v>48061</v>
      </c>
      <c r="C204" s="429">
        <f t="shared" si="9"/>
        <v>3563941.9285611263</v>
      </c>
      <c r="D204" s="429">
        <f t="shared" si="1"/>
        <v>63364.835008488124</v>
      </c>
      <c r="E204" s="430">
        <f t="shared" si="2"/>
        <v>0</v>
      </c>
      <c r="F204" s="429">
        <f t="shared" si="3"/>
        <v>63364.835008488124</v>
      </c>
      <c r="G204" s="429">
        <f t="shared" si="4"/>
        <v>48515.076972816765</v>
      </c>
      <c r="H204" s="429">
        <f t="shared" si="7"/>
        <v>14849.758035671361</v>
      </c>
      <c r="I204" s="429">
        <f t="shared" si="5"/>
        <v>3515426.8515883097</v>
      </c>
      <c r="J204" s="429">
        <f>SUM($H$18:$H204)</f>
        <v>5529993.6681755874</v>
      </c>
    </row>
    <row r="205" spans="1:10" ht="15" customHeight="1" x14ac:dyDescent="0.15">
      <c r="A205" s="427">
        <v>188</v>
      </c>
      <c r="B205" s="428">
        <f t="shared" si="0"/>
        <v>48092</v>
      </c>
      <c r="C205" s="429">
        <f t="shared" si="9"/>
        <v>3515426.8515883097</v>
      </c>
      <c r="D205" s="429">
        <f t="shared" si="1"/>
        <v>63364.835008488124</v>
      </c>
      <c r="E205" s="430">
        <f t="shared" si="2"/>
        <v>0</v>
      </c>
      <c r="F205" s="429">
        <f t="shared" si="3"/>
        <v>63364.835008488124</v>
      </c>
      <c r="G205" s="429">
        <f t="shared" si="4"/>
        <v>48717.223126870165</v>
      </c>
      <c r="H205" s="429">
        <f t="shared" si="7"/>
        <v>14647.611881617959</v>
      </c>
      <c r="I205" s="429">
        <f t="shared" si="5"/>
        <v>3466709.6284614396</v>
      </c>
      <c r="J205" s="429">
        <f>SUM($H$18:$H205)</f>
        <v>5544641.2800572058</v>
      </c>
    </row>
    <row r="206" spans="1:10" ht="15" customHeight="1" x14ac:dyDescent="0.15">
      <c r="A206" s="427">
        <v>189</v>
      </c>
      <c r="B206" s="428">
        <f t="shared" si="0"/>
        <v>48122</v>
      </c>
      <c r="C206" s="429">
        <f t="shared" si="9"/>
        <v>3466709.6284614396</v>
      </c>
      <c r="D206" s="429">
        <f t="shared" si="1"/>
        <v>63364.835008488124</v>
      </c>
      <c r="E206" s="430">
        <f t="shared" si="2"/>
        <v>0</v>
      </c>
      <c r="F206" s="429">
        <f t="shared" si="3"/>
        <v>63364.835008488124</v>
      </c>
      <c r="G206" s="429">
        <f t="shared" si="4"/>
        <v>48920.21155656546</v>
      </c>
      <c r="H206" s="429">
        <f t="shared" si="7"/>
        <v>14444.623451922665</v>
      </c>
      <c r="I206" s="429">
        <f t="shared" si="5"/>
        <v>3417789.4169048741</v>
      </c>
      <c r="J206" s="429">
        <f>SUM($H$18:$H206)</f>
        <v>5559085.9035091288</v>
      </c>
    </row>
    <row r="207" spans="1:10" ht="15" customHeight="1" x14ac:dyDescent="0.15">
      <c r="A207" s="427">
        <v>190</v>
      </c>
      <c r="B207" s="428">
        <f t="shared" si="0"/>
        <v>48153</v>
      </c>
      <c r="C207" s="429">
        <f t="shared" si="9"/>
        <v>3417789.4169048741</v>
      </c>
      <c r="D207" s="429">
        <f t="shared" si="1"/>
        <v>63364.835008488124</v>
      </c>
      <c r="E207" s="430">
        <f t="shared" si="2"/>
        <v>0</v>
      </c>
      <c r="F207" s="429">
        <f t="shared" si="3"/>
        <v>63364.835008488124</v>
      </c>
      <c r="G207" s="429">
        <f t="shared" si="4"/>
        <v>49124.045771384481</v>
      </c>
      <c r="H207" s="429">
        <f t="shared" si="7"/>
        <v>14240.789237103643</v>
      </c>
      <c r="I207" s="429">
        <f t="shared" si="5"/>
        <v>3368665.3711334895</v>
      </c>
      <c r="J207" s="429">
        <f>SUM($H$18:$H207)</f>
        <v>5573326.6927462323</v>
      </c>
    </row>
    <row r="208" spans="1:10" ht="15" customHeight="1" x14ac:dyDescent="0.15">
      <c r="A208" s="427">
        <v>191</v>
      </c>
      <c r="B208" s="428">
        <f t="shared" si="0"/>
        <v>48183</v>
      </c>
      <c r="C208" s="429">
        <f t="shared" si="9"/>
        <v>3368665.3711334895</v>
      </c>
      <c r="D208" s="429">
        <f t="shared" si="1"/>
        <v>63364.835008488124</v>
      </c>
      <c r="E208" s="430">
        <f t="shared" si="2"/>
        <v>0</v>
      </c>
      <c r="F208" s="429">
        <f t="shared" si="3"/>
        <v>63364.835008488124</v>
      </c>
      <c r="G208" s="429">
        <f t="shared" si="4"/>
        <v>49328.72929543192</v>
      </c>
      <c r="H208" s="429">
        <f t="shared" si="7"/>
        <v>14036.105713056206</v>
      </c>
      <c r="I208" s="429">
        <f t="shared" si="5"/>
        <v>3319336.6418380574</v>
      </c>
      <c r="J208" s="429">
        <f>SUM($H$18:$H208)</f>
        <v>5587362.7984592887</v>
      </c>
    </row>
    <row r="209" spans="1:10" ht="15" customHeight="1" x14ac:dyDescent="0.15">
      <c r="A209" s="427">
        <v>192</v>
      </c>
      <c r="B209" s="428">
        <f t="shared" si="0"/>
        <v>48214</v>
      </c>
      <c r="C209" s="429">
        <f t="shared" si="9"/>
        <v>3319336.6418380574</v>
      </c>
      <c r="D209" s="429">
        <f t="shared" si="1"/>
        <v>63364.835008488124</v>
      </c>
      <c r="E209" s="430">
        <f t="shared" si="2"/>
        <v>0</v>
      </c>
      <c r="F209" s="429">
        <f t="shared" si="3"/>
        <v>63364.835008488124</v>
      </c>
      <c r="G209" s="429">
        <f t="shared" si="4"/>
        <v>49534.26566749622</v>
      </c>
      <c r="H209" s="429">
        <f t="shared" si="7"/>
        <v>13830.569340991906</v>
      </c>
      <c r="I209" s="429">
        <f t="shared" si="5"/>
        <v>3269802.3761705612</v>
      </c>
      <c r="J209" s="429">
        <f>SUM($H$18:$H209)</f>
        <v>5601193.3678002805</v>
      </c>
    </row>
    <row r="210" spans="1:10" ht="15" customHeight="1" x14ac:dyDescent="0.15">
      <c r="A210" s="427">
        <v>193</v>
      </c>
      <c r="B210" s="428">
        <f t="shared" si="0"/>
        <v>48245</v>
      </c>
      <c r="C210" s="429">
        <f t="shared" si="9"/>
        <v>3269802.3761705612</v>
      </c>
      <c r="D210" s="429">
        <f t="shared" si="1"/>
        <v>63364.835008488124</v>
      </c>
      <c r="E210" s="430">
        <f t="shared" si="2"/>
        <v>0</v>
      </c>
      <c r="F210" s="429">
        <f t="shared" si="3"/>
        <v>63364.835008488124</v>
      </c>
      <c r="G210" s="429">
        <f t="shared" si="4"/>
        <v>49740.658441110783</v>
      </c>
      <c r="H210" s="429">
        <f t="shared" si="7"/>
        <v>13624.176567377339</v>
      </c>
      <c r="I210" s="429">
        <f t="shared" si="5"/>
        <v>3220061.7177294502</v>
      </c>
      <c r="J210" s="429">
        <f>SUM($H$18:$H210)</f>
        <v>5614817.544367658</v>
      </c>
    </row>
    <row r="211" spans="1:10" ht="15" customHeight="1" x14ac:dyDescent="0.15">
      <c r="A211" s="427">
        <v>194</v>
      </c>
      <c r="B211" s="428">
        <f t="shared" si="0"/>
        <v>48274</v>
      </c>
      <c r="C211" s="429">
        <f t="shared" ref="C211:C274" si="10">IF($A$18:$A$377&lt;&gt;"",I210,"")</f>
        <v>3220061.7177294502</v>
      </c>
      <c r="D211" s="429">
        <f t="shared" si="1"/>
        <v>63364.835008488124</v>
      </c>
      <c r="E211" s="430">
        <f t="shared" si="2"/>
        <v>0</v>
      </c>
      <c r="F211" s="429">
        <f t="shared" si="3"/>
        <v>63364.835008488124</v>
      </c>
      <c r="G211" s="429">
        <f t="shared" si="4"/>
        <v>49947.911184615412</v>
      </c>
      <c r="H211" s="429">
        <f t="shared" si="7"/>
        <v>13416.92382387271</v>
      </c>
      <c r="I211" s="429">
        <f t="shared" si="5"/>
        <v>3170113.8065448347</v>
      </c>
      <c r="J211" s="429">
        <f>SUM($H$18:$H211)</f>
        <v>5628234.4681915306</v>
      </c>
    </row>
    <row r="212" spans="1:10" ht="15" customHeight="1" x14ac:dyDescent="0.15">
      <c r="A212" s="427">
        <v>195</v>
      </c>
      <c r="B212" s="428">
        <f t="shared" si="0"/>
        <v>48305</v>
      </c>
      <c r="C212" s="429">
        <f t="shared" si="10"/>
        <v>3170113.8065448347</v>
      </c>
      <c r="D212" s="429">
        <f t="shared" si="1"/>
        <v>63364.835008488124</v>
      </c>
      <c r="E212" s="430">
        <f t="shared" si="2"/>
        <v>0</v>
      </c>
      <c r="F212" s="429">
        <f t="shared" si="3"/>
        <v>63364.835008488124</v>
      </c>
      <c r="G212" s="429">
        <f t="shared" si="4"/>
        <v>50156.027481217978</v>
      </c>
      <c r="H212" s="429">
        <f t="shared" si="7"/>
        <v>13208.807527270146</v>
      </c>
      <c r="I212" s="429">
        <f t="shared" si="5"/>
        <v>3119957.7790636169</v>
      </c>
      <c r="J212" s="429">
        <f>SUM($H$18:$H212)</f>
        <v>5641443.2757188007</v>
      </c>
    </row>
    <row r="213" spans="1:10" ht="15" customHeight="1" x14ac:dyDescent="0.15">
      <c r="A213" s="427">
        <v>196</v>
      </c>
      <c r="B213" s="428">
        <f t="shared" si="0"/>
        <v>48335</v>
      </c>
      <c r="C213" s="429">
        <f t="shared" si="10"/>
        <v>3119957.7790636169</v>
      </c>
      <c r="D213" s="429">
        <f t="shared" si="1"/>
        <v>63364.835008488124</v>
      </c>
      <c r="E213" s="430">
        <f t="shared" si="2"/>
        <v>0</v>
      </c>
      <c r="F213" s="429">
        <f t="shared" si="3"/>
        <v>63364.835008488124</v>
      </c>
      <c r="G213" s="429">
        <f t="shared" si="4"/>
        <v>50365.010929056385</v>
      </c>
      <c r="H213" s="429">
        <f t="shared" si="7"/>
        <v>12999.824079431737</v>
      </c>
      <c r="I213" s="429">
        <f t="shared" si="5"/>
        <v>3069592.7681345604</v>
      </c>
      <c r="J213" s="429">
        <f>SUM($H$18:$H213)</f>
        <v>5654443.0997982323</v>
      </c>
    </row>
    <row r="214" spans="1:10" ht="15" customHeight="1" x14ac:dyDescent="0.15">
      <c r="A214" s="427">
        <v>197</v>
      </c>
      <c r="B214" s="428">
        <f t="shared" si="0"/>
        <v>48366</v>
      </c>
      <c r="C214" s="429">
        <f t="shared" si="10"/>
        <v>3069592.7681345604</v>
      </c>
      <c r="D214" s="429">
        <f t="shared" si="1"/>
        <v>63364.835008488124</v>
      </c>
      <c r="E214" s="430">
        <f t="shared" si="2"/>
        <v>0</v>
      </c>
      <c r="F214" s="429">
        <f t="shared" si="3"/>
        <v>63364.835008488124</v>
      </c>
      <c r="G214" s="429">
        <f t="shared" si="4"/>
        <v>50574.865141260787</v>
      </c>
      <c r="H214" s="429">
        <f t="shared" si="7"/>
        <v>12789.969867227335</v>
      </c>
      <c r="I214" s="429">
        <f t="shared" si="5"/>
        <v>3019017.9029932995</v>
      </c>
      <c r="J214" s="429">
        <f>SUM($H$18:$H214)</f>
        <v>5667233.0696654599</v>
      </c>
    </row>
    <row r="215" spans="1:10" ht="15" customHeight="1" x14ac:dyDescent="0.15">
      <c r="A215" s="427">
        <v>198</v>
      </c>
      <c r="B215" s="428">
        <f t="shared" si="0"/>
        <v>48396</v>
      </c>
      <c r="C215" s="429">
        <f t="shared" si="10"/>
        <v>3019017.9029932995</v>
      </c>
      <c r="D215" s="429">
        <f t="shared" si="1"/>
        <v>63364.835008488124</v>
      </c>
      <c r="E215" s="430">
        <f t="shared" si="2"/>
        <v>0</v>
      </c>
      <c r="F215" s="429">
        <f t="shared" si="3"/>
        <v>63364.835008488124</v>
      </c>
      <c r="G215" s="429">
        <f t="shared" si="4"/>
        <v>50785.593746016042</v>
      </c>
      <c r="H215" s="429">
        <f t="shared" si="7"/>
        <v>12579.241262472082</v>
      </c>
      <c r="I215" s="429">
        <f t="shared" si="5"/>
        <v>2968232.3092472833</v>
      </c>
      <c r="J215" s="429">
        <f>SUM($H$18:$H215)</f>
        <v>5679812.3109279322</v>
      </c>
    </row>
    <row r="216" spans="1:10" ht="15" customHeight="1" x14ac:dyDescent="0.15">
      <c r="A216" s="427">
        <v>199</v>
      </c>
      <c r="B216" s="428">
        <f t="shared" si="0"/>
        <v>48427</v>
      </c>
      <c r="C216" s="429">
        <f t="shared" si="10"/>
        <v>2968232.3092472833</v>
      </c>
      <c r="D216" s="429">
        <f t="shared" si="1"/>
        <v>63364.835008488124</v>
      </c>
      <c r="E216" s="430">
        <f t="shared" si="2"/>
        <v>0</v>
      </c>
      <c r="F216" s="429">
        <f t="shared" si="3"/>
        <v>63364.835008488124</v>
      </c>
      <c r="G216" s="429">
        <f t="shared" si="4"/>
        <v>50997.200386624441</v>
      </c>
      <c r="H216" s="429">
        <f t="shared" si="7"/>
        <v>12367.634621863681</v>
      </c>
      <c r="I216" s="429">
        <f t="shared" si="5"/>
        <v>2917235.1088606589</v>
      </c>
      <c r="J216" s="429">
        <f>SUM($H$18:$H216)</f>
        <v>5692179.9455497954</v>
      </c>
    </row>
    <row r="217" spans="1:10" ht="15" customHeight="1" x14ac:dyDescent="0.15">
      <c r="A217" s="427">
        <v>200</v>
      </c>
      <c r="B217" s="428">
        <f t="shared" si="0"/>
        <v>48458</v>
      </c>
      <c r="C217" s="429">
        <f t="shared" si="10"/>
        <v>2917235.1088606589</v>
      </c>
      <c r="D217" s="429">
        <f t="shared" si="1"/>
        <v>63364.835008488124</v>
      </c>
      <c r="E217" s="430">
        <f t="shared" si="2"/>
        <v>0</v>
      </c>
      <c r="F217" s="429">
        <f t="shared" si="3"/>
        <v>63364.835008488124</v>
      </c>
      <c r="G217" s="429">
        <f t="shared" si="4"/>
        <v>51209.688721568709</v>
      </c>
      <c r="H217" s="429">
        <f t="shared" si="7"/>
        <v>12155.146286919413</v>
      </c>
      <c r="I217" s="429">
        <f t="shared" si="5"/>
        <v>2866025.4201390902</v>
      </c>
      <c r="J217" s="429">
        <f>SUM($H$18:$H217)</f>
        <v>5704335.0918367151</v>
      </c>
    </row>
    <row r="218" spans="1:10" ht="15" customHeight="1" x14ac:dyDescent="0.15">
      <c r="A218" s="427">
        <v>201</v>
      </c>
      <c r="B218" s="428">
        <f t="shared" si="0"/>
        <v>48488</v>
      </c>
      <c r="C218" s="429">
        <f t="shared" si="10"/>
        <v>2866025.4201390902</v>
      </c>
      <c r="D218" s="429">
        <f t="shared" si="1"/>
        <v>63364.835008488124</v>
      </c>
      <c r="E218" s="430">
        <f t="shared" si="2"/>
        <v>0</v>
      </c>
      <c r="F218" s="429">
        <f t="shared" si="3"/>
        <v>63364.835008488124</v>
      </c>
      <c r="G218" s="429">
        <f t="shared" si="4"/>
        <v>51423.062424575248</v>
      </c>
      <c r="H218" s="429">
        <f t="shared" si="7"/>
        <v>11941.772583912876</v>
      </c>
      <c r="I218" s="429">
        <f t="shared" si="5"/>
        <v>2814602.3577145147</v>
      </c>
      <c r="J218" s="429">
        <f>SUM($H$18:$H218)</f>
        <v>5716276.8644206282</v>
      </c>
    </row>
    <row r="219" spans="1:10" ht="15" customHeight="1" x14ac:dyDescent="0.15">
      <c r="A219" s="427">
        <v>202</v>
      </c>
      <c r="B219" s="428">
        <f t="shared" si="0"/>
        <v>48519</v>
      </c>
      <c r="C219" s="429">
        <f t="shared" si="10"/>
        <v>2814602.3577145147</v>
      </c>
      <c r="D219" s="429">
        <f t="shared" si="1"/>
        <v>63364.835008488124</v>
      </c>
      <c r="E219" s="430">
        <f t="shared" si="2"/>
        <v>0</v>
      </c>
      <c r="F219" s="429">
        <f t="shared" si="3"/>
        <v>63364.835008488124</v>
      </c>
      <c r="G219" s="429">
        <f t="shared" si="4"/>
        <v>51637.325184677647</v>
      </c>
      <c r="H219" s="429">
        <f t="shared" si="7"/>
        <v>11727.509823810478</v>
      </c>
      <c r="I219" s="429">
        <f t="shared" si="5"/>
        <v>2762965.032529837</v>
      </c>
      <c r="J219" s="429">
        <f>SUM($H$18:$H219)</f>
        <v>5728004.3742444385</v>
      </c>
    </row>
    <row r="220" spans="1:10" ht="15" customHeight="1" x14ac:dyDescent="0.15">
      <c r="A220" s="427">
        <v>203</v>
      </c>
      <c r="B220" s="428">
        <f t="shared" si="0"/>
        <v>48549</v>
      </c>
      <c r="C220" s="429">
        <f t="shared" si="10"/>
        <v>2762965.032529837</v>
      </c>
      <c r="D220" s="429">
        <f t="shared" si="1"/>
        <v>63364.835008488124</v>
      </c>
      <c r="E220" s="430">
        <f t="shared" si="2"/>
        <v>0</v>
      </c>
      <c r="F220" s="429">
        <f t="shared" si="3"/>
        <v>63364.835008488124</v>
      </c>
      <c r="G220" s="429">
        <f t="shared" si="4"/>
        <v>51852.480706280468</v>
      </c>
      <c r="H220" s="429">
        <f t="shared" si="7"/>
        <v>11512.354302207656</v>
      </c>
      <c r="I220" s="429">
        <f t="shared" si="5"/>
        <v>2711112.5518235564</v>
      </c>
      <c r="J220" s="429">
        <f>SUM($H$18:$H220)</f>
        <v>5739516.7285466464</v>
      </c>
    </row>
    <row r="221" spans="1:10" ht="15" customHeight="1" x14ac:dyDescent="0.15">
      <c r="A221" s="427">
        <v>204</v>
      </c>
      <c r="B221" s="428">
        <f t="shared" si="0"/>
        <v>48580</v>
      </c>
      <c r="C221" s="429">
        <f t="shared" si="10"/>
        <v>2711112.5518235564</v>
      </c>
      <c r="D221" s="429">
        <f t="shared" si="1"/>
        <v>63364.835008488124</v>
      </c>
      <c r="E221" s="430">
        <f t="shared" si="2"/>
        <v>0</v>
      </c>
      <c r="F221" s="429">
        <f t="shared" si="3"/>
        <v>63364.835008488124</v>
      </c>
      <c r="G221" s="429">
        <f t="shared" si="4"/>
        <v>52068.532709223306</v>
      </c>
      <c r="H221" s="429">
        <f t="shared" si="7"/>
        <v>11296.302299264818</v>
      </c>
      <c r="I221" s="429">
        <f t="shared" si="5"/>
        <v>2659044.0191143332</v>
      </c>
      <c r="J221" s="429">
        <f>SUM($H$18:$H221)</f>
        <v>5750813.0308459112</v>
      </c>
    </row>
    <row r="222" spans="1:10" ht="15" customHeight="1" x14ac:dyDescent="0.15">
      <c r="A222" s="427">
        <v>205</v>
      </c>
      <c r="B222" s="428">
        <f t="shared" si="0"/>
        <v>48611</v>
      </c>
      <c r="C222" s="429">
        <f t="shared" si="10"/>
        <v>2659044.0191143332</v>
      </c>
      <c r="D222" s="429">
        <f t="shared" si="1"/>
        <v>63364.835008488124</v>
      </c>
      <c r="E222" s="430">
        <f t="shared" si="2"/>
        <v>0</v>
      </c>
      <c r="F222" s="429">
        <f t="shared" si="3"/>
        <v>63364.835008488124</v>
      </c>
      <c r="G222" s="429">
        <f t="shared" si="4"/>
        <v>52285.484928845071</v>
      </c>
      <c r="H222" s="429">
        <f t="shared" si="7"/>
        <v>11079.350079643054</v>
      </c>
      <c r="I222" s="429">
        <f t="shared" si="5"/>
        <v>2606758.5341854882</v>
      </c>
      <c r="J222" s="429">
        <f>SUM($H$18:$H222)</f>
        <v>5761892.3809255539</v>
      </c>
    </row>
    <row r="223" spans="1:10" ht="15" customHeight="1" x14ac:dyDescent="0.15">
      <c r="A223" s="427">
        <v>206</v>
      </c>
      <c r="B223" s="428">
        <f t="shared" si="0"/>
        <v>48639</v>
      </c>
      <c r="C223" s="429">
        <f t="shared" si="10"/>
        <v>2606758.5341854882</v>
      </c>
      <c r="D223" s="429">
        <f t="shared" si="1"/>
        <v>63364.835008488124</v>
      </c>
      <c r="E223" s="430">
        <f t="shared" si="2"/>
        <v>0</v>
      </c>
      <c r="F223" s="429">
        <f t="shared" si="3"/>
        <v>63364.835008488124</v>
      </c>
      <c r="G223" s="429">
        <f t="shared" si="4"/>
        <v>52503.341116048592</v>
      </c>
      <c r="H223" s="429">
        <f t="shared" si="7"/>
        <v>10861.493892439534</v>
      </c>
      <c r="I223" s="429">
        <f t="shared" si="5"/>
        <v>2554255.1930694398</v>
      </c>
      <c r="J223" s="429">
        <f>SUM($H$18:$H223)</f>
        <v>5772753.8748179935</v>
      </c>
    </row>
    <row r="224" spans="1:10" ht="15" customHeight="1" x14ac:dyDescent="0.15">
      <c r="A224" s="427">
        <v>207</v>
      </c>
      <c r="B224" s="428">
        <f t="shared" si="0"/>
        <v>48670</v>
      </c>
      <c r="C224" s="429">
        <f t="shared" si="10"/>
        <v>2554255.1930694398</v>
      </c>
      <c r="D224" s="429">
        <f t="shared" si="1"/>
        <v>63364.835008488124</v>
      </c>
      <c r="E224" s="430">
        <f t="shared" si="2"/>
        <v>0</v>
      </c>
      <c r="F224" s="429">
        <f t="shared" si="3"/>
        <v>63364.835008488124</v>
      </c>
      <c r="G224" s="429">
        <f t="shared" si="4"/>
        <v>52722.105037365458</v>
      </c>
      <c r="H224" s="429">
        <f t="shared" si="7"/>
        <v>10642.729971122666</v>
      </c>
      <c r="I224" s="429">
        <f t="shared" si="5"/>
        <v>2501533.0880320743</v>
      </c>
      <c r="J224" s="429">
        <f>SUM($H$18:$H224)</f>
        <v>5783396.6047891164</v>
      </c>
    </row>
    <row r="225" spans="1:10" ht="15" customHeight="1" x14ac:dyDescent="0.15">
      <c r="A225" s="427">
        <v>208</v>
      </c>
      <c r="B225" s="428">
        <f t="shared" si="0"/>
        <v>48700</v>
      </c>
      <c r="C225" s="429">
        <f t="shared" si="10"/>
        <v>2501533.0880320743</v>
      </c>
      <c r="D225" s="429">
        <f t="shared" si="1"/>
        <v>63364.835008488124</v>
      </c>
      <c r="E225" s="430">
        <f t="shared" si="2"/>
        <v>0</v>
      </c>
      <c r="F225" s="429">
        <f t="shared" si="3"/>
        <v>63364.835008488124</v>
      </c>
      <c r="G225" s="429">
        <f t="shared" si="4"/>
        <v>52941.780475021151</v>
      </c>
      <c r="H225" s="429">
        <f t="shared" si="7"/>
        <v>10423.054533466977</v>
      </c>
      <c r="I225" s="429">
        <f t="shared" si="5"/>
        <v>2448591.3075570529</v>
      </c>
      <c r="J225" s="429">
        <f>SUM($H$18:$H225)</f>
        <v>5793819.6593225831</v>
      </c>
    </row>
    <row r="226" spans="1:10" ht="15" customHeight="1" x14ac:dyDescent="0.15">
      <c r="A226" s="427">
        <v>209</v>
      </c>
      <c r="B226" s="428">
        <f t="shared" si="0"/>
        <v>48731</v>
      </c>
      <c r="C226" s="429">
        <f t="shared" si="10"/>
        <v>2448591.3075570529</v>
      </c>
      <c r="D226" s="429">
        <f t="shared" si="1"/>
        <v>63364.835008488124</v>
      </c>
      <c r="E226" s="430">
        <f t="shared" si="2"/>
        <v>0</v>
      </c>
      <c r="F226" s="429">
        <f t="shared" si="3"/>
        <v>63364.835008488124</v>
      </c>
      <c r="G226" s="429">
        <f t="shared" si="4"/>
        <v>53162.371227000403</v>
      </c>
      <c r="H226" s="429">
        <f t="shared" si="7"/>
        <v>10202.463781487721</v>
      </c>
      <c r="I226" s="429">
        <f t="shared" si="5"/>
        <v>2395428.9363300526</v>
      </c>
      <c r="J226" s="429">
        <f>SUM($H$18:$H226)</f>
        <v>5804022.1231040712</v>
      </c>
    </row>
    <row r="227" spans="1:10" ht="15" customHeight="1" x14ac:dyDescent="0.15">
      <c r="A227" s="427">
        <v>210</v>
      </c>
      <c r="B227" s="428">
        <f t="shared" si="0"/>
        <v>48761</v>
      </c>
      <c r="C227" s="429">
        <f t="shared" si="10"/>
        <v>2395428.9363300526</v>
      </c>
      <c r="D227" s="429">
        <f t="shared" si="1"/>
        <v>63364.835008488124</v>
      </c>
      <c r="E227" s="430">
        <f t="shared" si="2"/>
        <v>0</v>
      </c>
      <c r="F227" s="429">
        <f t="shared" si="3"/>
        <v>63364.835008488124</v>
      </c>
      <c r="G227" s="429">
        <f t="shared" si="4"/>
        <v>53383.881107112902</v>
      </c>
      <c r="H227" s="429">
        <f t="shared" si="7"/>
        <v>9980.9539013752201</v>
      </c>
      <c r="I227" s="429">
        <f t="shared" si="5"/>
        <v>2342045.0552229397</v>
      </c>
      <c r="J227" s="429">
        <f>SUM($H$18:$H227)</f>
        <v>5814003.0770054469</v>
      </c>
    </row>
    <row r="228" spans="1:10" ht="15" customHeight="1" x14ac:dyDescent="0.15">
      <c r="A228" s="427">
        <v>211</v>
      </c>
      <c r="B228" s="428">
        <f t="shared" si="0"/>
        <v>48792</v>
      </c>
      <c r="C228" s="429">
        <f t="shared" si="10"/>
        <v>2342045.0552229397</v>
      </c>
      <c r="D228" s="429">
        <f t="shared" si="1"/>
        <v>63364.835008488124</v>
      </c>
      <c r="E228" s="430">
        <f t="shared" si="2"/>
        <v>0</v>
      </c>
      <c r="F228" s="429">
        <f t="shared" si="3"/>
        <v>63364.835008488124</v>
      </c>
      <c r="G228" s="429">
        <f t="shared" si="4"/>
        <v>53606.313945059206</v>
      </c>
      <c r="H228" s="429">
        <f t="shared" si="7"/>
        <v>9758.521063428916</v>
      </c>
      <c r="I228" s="429">
        <f t="shared" si="5"/>
        <v>2288438.7412778805</v>
      </c>
      <c r="J228" s="429">
        <f>SUM($H$18:$H228)</f>
        <v>5823761.5980688762</v>
      </c>
    </row>
    <row r="229" spans="1:10" ht="15" customHeight="1" x14ac:dyDescent="0.15">
      <c r="A229" s="427">
        <v>212</v>
      </c>
      <c r="B229" s="428">
        <f t="shared" si="0"/>
        <v>48823</v>
      </c>
      <c r="C229" s="429">
        <f t="shared" si="10"/>
        <v>2288438.7412778805</v>
      </c>
      <c r="D229" s="429">
        <f t="shared" si="1"/>
        <v>63364.835008488124</v>
      </c>
      <c r="E229" s="430">
        <f t="shared" si="2"/>
        <v>0</v>
      </c>
      <c r="F229" s="429">
        <f t="shared" si="3"/>
        <v>63364.835008488124</v>
      </c>
      <c r="G229" s="429">
        <f t="shared" si="4"/>
        <v>53829.673586496952</v>
      </c>
      <c r="H229" s="429">
        <f t="shared" si="7"/>
        <v>9535.1614219911698</v>
      </c>
      <c r="I229" s="429">
        <f t="shared" si="5"/>
        <v>2234609.0676913834</v>
      </c>
      <c r="J229" s="429">
        <f>SUM($H$18:$H229)</f>
        <v>5833296.7594908671</v>
      </c>
    </row>
    <row r="230" spans="1:10" ht="15" customHeight="1" x14ac:dyDescent="0.15">
      <c r="A230" s="427">
        <v>213</v>
      </c>
      <c r="B230" s="428">
        <f t="shared" si="0"/>
        <v>48853</v>
      </c>
      <c r="C230" s="429">
        <f t="shared" si="10"/>
        <v>2234609.0676913834</v>
      </c>
      <c r="D230" s="429">
        <f t="shared" si="1"/>
        <v>63364.835008488124</v>
      </c>
      <c r="E230" s="430">
        <f t="shared" si="2"/>
        <v>0</v>
      </c>
      <c r="F230" s="429">
        <f t="shared" si="3"/>
        <v>63364.835008488124</v>
      </c>
      <c r="G230" s="429">
        <f t="shared" si="4"/>
        <v>54053.963893107357</v>
      </c>
      <c r="H230" s="429">
        <f t="shared" si="7"/>
        <v>9310.8711153807653</v>
      </c>
      <c r="I230" s="429">
        <f t="shared" si="5"/>
        <v>2180555.1037982763</v>
      </c>
      <c r="J230" s="429">
        <f>SUM($H$18:$H230)</f>
        <v>5842607.630606248</v>
      </c>
    </row>
    <row r="231" spans="1:10" ht="15" customHeight="1" x14ac:dyDescent="0.15">
      <c r="A231" s="427">
        <v>214</v>
      </c>
      <c r="B231" s="428">
        <f t="shared" si="0"/>
        <v>48884</v>
      </c>
      <c r="C231" s="429">
        <f t="shared" si="10"/>
        <v>2180555.1037982763</v>
      </c>
      <c r="D231" s="429">
        <f t="shared" si="1"/>
        <v>63364.835008488124</v>
      </c>
      <c r="E231" s="430">
        <f t="shared" si="2"/>
        <v>0</v>
      </c>
      <c r="F231" s="429">
        <f t="shared" si="3"/>
        <v>63364.835008488124</v>
      </c>
      <c r="G231" s="429">
        <f t="shared" si="4"/>
        <v>54279.188742661972</v>
      </c>
      <c r="H231" s="429">
        <f t="shared" si="7"/>
        <v>9085.6462658261516</v>
      </c>
      <c r="I231" s="429">
        <f t="shared" si="5"/>
        <v>2126275.9150556144</v>
      </c>
      <c r="J231" s="429">
        <f>SUM($H$18:$H231)</f>
        <v>5851693.2768720742</v>
      </c>
    </row>
    <row r="232" spans="1:10" ht="15" customHeight="1" x14ac:dyDescent="0.15">
      <c r="A232" s="427">
        <v>215</v>
      </c>
      <c r="B232" s="428">
        <f t="shared" si="0"/>
        <v>48914</v>
      </c>
      <c r="C232" s="429">
        <f t="shared" si="10"/>
        <v>2126275.9150556144</v>
      </c>
      <c r="D232" s="429">
        <f t="shared" si="1"/>
        <v>63364.835008488124</v>
      </c>
      <c r="E232" s="430">
        <f t="shared" si="2"/>
        <v>0</v>
      </c>
      <c r="F232" s="429">
        <f t="shared" si="3"/>
        <v>63364.835008488124</v>
      </c>
      <c r="G232" s="429">
        <f t="shared" si="4"/>
        <v>54505.352029089729</v>
      </c>
      <c r="H232" s="429">
        <f t="shared" si="7"/>
        <v>8859.4829793983936</v>
      </c>
      <c r="I232" s="429">
        <f t="shared" si="5"/>
        <v>2071770.5630265246</v>
      </c>
      <c r="J232" s="429">
        <f>SUM($H$18:$H232)</f>
        <v>5860552.7598514725</v>
      </c>
    </row>
    <row r="233" spans="1:10" ht="15" customHeight="1" x14ac:dyDescent="0.15">
      <c r="A233" s="427">
        <v>216</v>
      </c>
      <c r="B233" s="428">
        <f t="shared" si="0"/>
        <v>48945</v>
      </c>
      <c r="C233" s="429">
        <f t="shared" si="10"/>
        <v>2071770.5630265246</v>
      </c>
      <c r="D233" s="429">
        <f t="shared" si="1"/>
        <v>63364.835008488124</v>
      </c>
      <c r="E233" s="430">
        <f t="shared" si="2"/>
        <v>0</v>
      </c>
      <c r="F233" s="429">
        <f t="shared" si="3"/>
        <v>63364.835008488124</v>
      </c>
      <c r="G233" s="429">
        <f t="shared" si="4"/>
        <v>54732.457662544271</v>
      </c>
      <c r="H233" s="429">
        <f t="shared" si="7"/>
        <v>8632.3773459438526</v>
      </c>
      <c r="I233" s="429">
        <f t="shared" si="5"/>
        <v>2017038.1053639804</v>
      </c>
      <c r="J233" s="429">
        <f>SUM($H$18:$H233)</f>
        <v>5869185.1371974163</v>
      </c>
    </row>
    <row r="234" spans="1:10" ht="15" customHeight="1" x14ac:dyDescent="0.15">
      <c r="A234" s="427">
        <v>217</v>
      </c>
      <c r="B234" s="428">
        <f t="shared" si="0"/>
        <v>48976</v>
      </c>
      <c r="C234" s="429">
        <f t="shared" si="10"/>
        <v>2017038.1053639804</v>
      </c>
      <c r="D234" s="429">
        <f t="shared" si="1"/>
        <v>63364.835008488124</v>
      </c>
      <c r="E234" s="430">
        <f t="shared" si="2"/>
        <v>0</v>
      </c>
      <c r="F234" s="429">
        <f t="shared" si="3"/>
        <v>63364.835008488124</v>
      </c>
      <c r="G234" s="429">
        <f t="shared" si="4"/>
        <v>54960.509569471542</v>
      </c>
      <c r="H234" s="429">
        <f t="shared" si="7"/>
        <v>8404.3254390165857</v>
      </c>
      <c r="I234" s="429">
        <f t="shared" si="5"/>
        <v>1962077.5957945089</v>
      </c>
      <c r="J234" s="429">
        <f>SUM($H$18:$H234)</f>
        <v>5877589.4626364326</v>
      </c>
    </row>
    <row r="235" spans="1:10" ht="15" customHeight="1" x14ac:dyDescent="0.15">
      <c r="A235" s="427">
        <v>218</v>
      </c>
      <c r="B235" s="428">
        <f t="shared" si="0"/>
        <v>49004</v>
      </c>
      <c r="C235" s="429">
        <f t="shared" si="10"/>
        <v>1962077.5957945089</v>
      </c>
      <c r="D235" s="429">
        <f t="shared" si="1"/>
        <v>63364.835008488124</v>
      </c>
      <c r="E235" s="430">
        <f t="shared" si="2"/>
        <v>0</v>
      </c>
      <c r="F235" s="429">
        <f t="shared" si="3"/>
        <v>63364.835008488124</v>
      </c>
      <c r="G235" s="429">
        <f t="shared" si="4"/>
        <v>55189.511692677668</v>
      </c>
      <c r="H235" s="429">
        <f t="shared" si="7"/>
        <v>8175.3233158104549</v>
      </c>
      <c r="I235" s="429">
        <f t="shared" si="5"/>
        <v>1906888.0841018313</v>
      </c>
      <c r="J235" s="429">
        <f>SUM($H$18:$H235)</f>
        <v>5885764.785952243</v>
      </c>
    </row>
    <row r="236" spans="1:10" ht="15" customHeight="1" x14ac:dyDescent="0.15">
      <c r="A236" s="427">
        <v>219</v>
      </c>
      <c r="B236" s="428">
        <f t="shared" si="0"/>
        <v>49035</v>
      </c>
      <c r="C236" s="429">
        <f t="shared" si="10"/>
        <v>1906888.0841018313</v>
      </c>
      <c r="D236" s="429">
        <f t="shared" si="1"/>
        <v>63364.835008488124</v>
      </c>
      <c r="E236" s="430">
        <f t="shared" si="2"/>
        <v>0</v>
      </c>
      <c r="F236" s="429">
        <f t="shared" si="3"/>
        <v>63364.835008488124</v>
      </c>
      <c r="G236" s="429">
        <f t="shared" si="4"/>
        <v>55419.467991397163</v>
      </c>
      <c r="H236" s="429">
        <f t="shared" si="7"/>
        <v>7945.3670170909645</v>
      </c>
      <c r="I236" s="429">
        <f t="shared" si="5"/>
        <v>1851468.6161104341</v>
      </c>
      <c r="J236" s="429">
        <f>SUM($H$18:$H236)</f>
        <v>5893710.1529693343</v>
      </c>
    </row>
    <row r="237" spans="1:10" ht="15" customHeight="1" x14ac:dyDescent="0.15">
      <c r="A237" s="427">
        <v>220</v>
      </c>
      <c r="B237" s="428">
        <f t="shared" si="0"/>
        <v>49065</v>
      </c>
      <c r="C237" s="429">
        <f t="shared" si="10"/>
        <v>1851468.6161104341</v>
      </c>
      <c r="D237" s="429">
        <f t="shared" si="1"/>
        <v>63364.835008488124</v>
      </c>
      <c r="E237" s="430">
        <f t="shared" si="2"/>
        <v>0</v>
      </c>
      <c r="F237" s="429">
        <f t="shared" si="3"/>
        <v>63364.835008488124</v>
      </c>
      <c r="G237" s="429">
        <f t="shared" si="4"/>
        <v>55650.382441361318</v>
      </c>
      <c r="H237" s="429">
        <f t="shared" si="7"/>
        <v>7714.4525671268093</v>
      </c>
      <c r="I237" s="429">
        <f t="shared" si="5"/>
        <v>1795818.2336690729</v>
      </c>
      <c r="J237" s="429">
        <f>SUM($H$18:$H237)</f>
        <v>5901424.6055364609</v>
      </c>
    </row>
    <row r="238" spans="1:10" ht="15" customHeight="1" x14ac:dyDescent="0.15">
      <c r="A238" s="427">
        <v>221</v>
      </c>
      <c r="B238" s="428">
        <f t="shared" si="0"/>
        <v>49096</v>
      </c>
      <c r="C238" s="429">
        <f t="shared" si="10"/>
        <v>1795818.2336690729</v>
      </c>
      <c r="D238" s="429">
        <f t="shared" si="1"/>
        <v>63364.835008488124</v>
      </c>
      <c r="E238" s="430">
        <f t="shared" si="2"/>
        <v>0</v>
      </c>
      <c r="F238" s="429">
        <f t="shared" si="3"/>
        <v>63364.835008488124</v>
      </c>
      <c r="G238" s="429">
        <f t="shared" si="4"/>
        <v>55882.259034866984</v>
      </c>
      <c r="H238" s="429">
        <f t="shared" si="7"/>
        <v>7482.5759736211376</v>
      </c>
      <c r="I238" s="429">
        <f t="shared" si="5"/>
        <v>1739935.9746342059</v>
      </c>
      <c r="J238" s="429">
        <f>SUM($H$18:$H238)</f>
        <v>5908907.1815100824</v>
      </c>
    </row>
    <row r="239" spans="1:10" ht="15" customHeight="1" x14ac:dyDescent="0.15">
      <c r="A239" s="427">
        <v>222</v>
      </c>
      <c r="B239" s="428">
        <f t="shared" si="0"/>
        <v>49126</v>
      </c>
      <c r="C239" s="429">
        <f t="shared" si="10"/>
        <v>1739935.9746342059</v>
      </c>
      <c r="D239" s="429">
        <f t="shared" si="1"/>
        <v>63364.835008488124</v>
      </c>
      <c r="E239" s="430">
        <f t="shared" si="2"/>
        <v>0</v>
      </c>
      <c r="F239" s="429">
        <f t="shared" si="3"/>
        <v>63364.835008488124</v>
      </c>
      <c r="G239" s="429">
        <f t="shared" si="4"/>
        <v>56115.101780845602</v>
      </c>
      <c r="H239" s="429">
        <f t="shared" si="7"/>
        <v>7249.733227642525</v>
      </c>
      <c r="I239" s="429">
        <f t="shared" si="5"/>
        <v>1683820.8728533604</v>
      </c>
      <c r="J239" s="429">
        <f>SUM($H$18:$H239)</f>
        <v>5916156.9147377247</v>
      </c>
    </row>
    <row r="240" spans="1:10" ht="15" customHeight="1" x14ac:dyDescent="0.15">
      <c r="A240" s="427">
        <v>223</v>
      </c>
      <c r="B240" s="428">
        <f t="shared" si="0"/>
        <v>49157</v>
      </c>
      <c r="C240" s="429">
        <f t="shared" si="10"/>
        <v>1683820.8728533604</v>
      </c>
      <c r="D240" s="429">
        <f t="shared" si="1"/>
        <v>63364.835008488124</v>
      </c>
      <c r="E240" s="430">
        <f t="shared" si="2"/>
        <v>0</v>
      </c>
      <c r="F240" s="429">
        <f t="shared" si="3"/>
        <v>63364.835008488124</v>
      </c>
      <c r="G240" s="429">
        <f t="shared" si="4"/>
        <v>56348.914704932453</v>
      </c>
      <c r="H240" s="429">
        <f t="shared" si="7"/>
        <v>7015.9203035556684</v>
      </c>
      <c r="I240" s="429">
        <f t="shared" si="5"/>
        <v>1627471.958148428</v>
      </c>
      <c r="J240" s="429">
        <f>SUM($H$18:$H240)</f>
        <v>5923172.8350412799</v>
      </c>
    </row>
    <row r="241" spans="1:10" ht="15" customHeight="1" x14ac:dyDescent="0.15">
      <c r="A241" s="427">
        <v>224</v>
      </c>
      <c r="B241" s="428">
        <f t="shared" si="0"/>
        <v>49188</v>
      </c>
      <c r="C241" s="429">
        <f t="shared" si="10"/>
        <v>1627471.958148428</v>
      </c>
      <c r="D241" s="429">
        <f t="shared" si="1"/>
        <v>63364.835008488124</v>
      </c>
      <c r="E241" s="430">
        <f t="shared" si="2"/>
        <v>0</v>
      </c>
      <c r="F241" s="429">
        <f t="shared" si="3"/>
        <v>63364.835008488124</v>
      </c>
      <c r="G241" s="429">
        <f t="shared" si="4"/>
        <v>56583.701849536337</v>
      </c>
      <c r="H241" s="429">
        <f t="shared" si="7"/>
        <v>6781.133158951784</v>
      </c>
      <c r="I241" s="429">
        <f t="shared" si="5"/>
        <v>1570888.2562988917</v>
      </c>
      <c r="J241" s="429">
        <f>SUM($H$18:$H241)</f>
        <v>5929953.9682002319</v>
      </c>
    </row>
    <row r="242" spans="1:10" ht="15" customHeight="1" x14ac:dyDescent="0.15">
      <c r="A242" s="427">
        <v>225</v>
      </c>
      <c r="B242" s="428">
        <f t="shared" si="0"/>
        <v>49218</v>
      </c>
      <c r="C242" s="429">
        <f t="shared" si="10"/>
        <v>1570888.2562988917</v>
      </c>
      <c r="D242" s="429">
        <f t="shared" si="1"/>
        <v>63364.835008488124</v>
      </c>
      <c r="E242" s="430">
        <f t="shared" si="2"/>
        <v>0</v>
      </c>
      <c r="F242" s="429">
        <f t="shared" si="3"/>
        <v>63364.835008488124</v>
      </c>
      <c r="G242" s="429">
        <f t="shared" si="4"/>
        <v>56819.467273909409</v>
      </c>
      <c r="H242" s="429">
        <f t="shared" si="7"/>
        <v>6545.3677345787155</v>
      </c>
      <c r="I242" s="429">
        <f t="shared" si="5"/>
        <v>1514068.7890249824</v>
      </c>
      <c r="J242" s="429">
        <f>SUM($H$18:$H242)</f>
        <v>5936499.3359348103</v>
      </c>
    </row>
    <row r="243" spans="1:10" ht="15" customHeight="1" x14ac:dyDescent="0.15">
      <c r="A243" s="427">
        <v>226</v>
      </c>
      <c r="B243" s="428">
        <f t="shared" si="0"/>
        <v>49249</v>
      </c>
      <c r="C243" s="429">
        <f t="shared" si="10"/>
        <v>1514068.7890249824</v>
      </c>
      <c r="D243" s="429">
        <f t="shared" si="1"/>
        <v>63364.835008488124</v>
      </c>
      <c r="E243" s="430">
        <f t="shared" si="2"/>
        <v>0</v>
      </c>
      <c r="F243" s="429">
        <f t="shared" si="3"/>
        <v>63364.835008488124</v>
      </c>
      <c r="G243" s="429">
        <f t="shared" si="4"/>
        <v>57056.215054217362</v>
      </c>
      <c r="H243" s="429">
        <f t="shared" si="7"/>
        <v>6308.6199542707609</v>
      </c>
      <c r="I243" s="429">
        <f t="shared" si="5"/>
        <v>1457012.5739707651</v>
      </c>
      <c r="J243" s="429">
        <f>SUM($H$18:$H243)</f>
        <v>5942807.9558890807</v>
      </c>
    </row>
    <row r="244" spans="1:10" ht="15" customHeight="1" x14ac:dyDescent="0.15">
      <c r="A244" s="427">
        <v>227</v>
      </c>
      <c r="B244" s="428">
        <f t="shared" si="0"/>
        <v>49279</v>
      </c>
      <c r="C244" s="429">
        <f t="shared" si="10"/>
        <v>1457012.5739707651</v>
      </c>
      <c r="D244" s="429">
        <f t="shared" si="1"/>
        <v>63364.835008488124</v>
      </c>
      <c r="E244" s="430">
        <f t="shared" si="2"/>
        <v>0</v>
      </c>
      <c r="F244" s="429">
        <f t="shared" si="3"/>
        <v>63364.835008488124</v>
      </c>
      <c r="G244" s="429">
        <f t="shared" si="4"/>
        <v>57293.949283609938</v>
      </c>
      <c r="H244" s="429">
        <f t="shared" si="7"/>
        <v>6070.8857248781887</v>
      </c>
      <c r="I244" s="429">
        <f t="shared" si="5"/>
        <v>1399718.6246871552</v>
      </c>
      <c r="J244" s="429">
        <f>SUM($H$18:$H244)</f>
        <v>5948878.8416139586</v>
      </c>
    </row>
    <row r="245" spans="1:10" ht="15" customHeight="1" x14ac:dyDescent="0.15">
      <c r="A245" s="427">
        <v>228</v>
      </c>
      <c r="B245" s="428">
        <f t="shared" si="0"/>
        <v>49310</v>
      </c>
      <c r="C245" s="429">
        <f t="shared" si="10"/>
        <v>1399718.6246871552</v>
      </c>
      <c r="D245" s="429">
        <f t="shared" si="1"/>
        <v>63364.835008488124</v>
      </c>
      <c r="E245" s="430">
        <f t="shared" si="2"/>
        <v>0</v>
      </c>
      <c r="F245" s="429">
        <f t="shared" si="3"/>
        <v>63364.835008488124</v>
      </c>
      <c r="G245" s="429">
        <f t="shared" si="4"/>
        <v>57532.674072291644</v>
      </c>
      <c r="H245" s="429">
        <f t="shared" si="7"/>
        <v>5832.1609361964802</v>
      </c>
      <c r="I245" s="429">
        <f t="shared" si="5"/>
        <v>1342185.9506148635</v>
      </c>
      <c r="J245" s="429">
        <f>SUM($H$18:$H245)</f>
        <v>5954711.0025501549</v>
      </c>
    </row>
    <row r="246" spans="1:10" ht="15" customHeight="1" x14ac:dyDescent="0.15">
      <c r="A246" s="427">
        <v>229</v>
      </c>
      <c r="B246" s="428">
        <f t="shared" si="0"/>
        <v>49341</v>
      </c>
      <c r="C246" s="429">
        <f t="shared" si="10"/>
        <v>1342185.9506148635</v>
      </c>
      <c r="D246" s="429">
        <f t="shared" si="1"/>
        <v>63364.835008488124</v>
      </c>
      <c r="E246" s="430">
        <f t="shared" si="2"/>
        <v>0</v>
      </c>
      <c r="F246" s="429">
        <f t="shared" si="3"/>
        <v>63364.835008488124</v>
      </c>
      <c r="G246" s="429">
        <f t="shared" si="4"/>
        <v>57772.393547592859</v>
      </c>
      <c r="H246" s="429">
        <f t="shared" si="7"/>
        <v>5592.4414608952648</v>
      </c>
      <c r="I246" s="429">
        <f t="shared" si="5"/>
        <v>1284413.5570672706</v>
      </c>
      <c r="J246" s="429">
        <f>SUM($H$18:$H246)</f>
        <v>5960303.4440110503</v>
      </c>
    </row>
    <row r="247" spans="1:10" ht="15" customHeight="1" x14ac:dyDescent="0.15">
      <c r="A247" s="427">
        <v>230</v>
      </c>
      <c r="B247" s="428">
        <f t="shared" si="0"/>
        <v>49369</v>
      </c>
      <c r="C247" s="429">
        <f t="shared" si="10"/>
        <v>1284413.5570672706</v>
      </c>
      <c r="D247" s="429">
        <f t="shared" si="1"/>
        <v>63364.835008488124</v>
      </c>
      <c r="E247" s="430">
        <f t="shared" si="2"/>
        <v>0</v>
      </c>
      <c r="F247" s="429">
        <f t="shared" si="3"/>
        <v>63364.835008488124</v>
      </c>
      <c r="G247" s="429">
        <f t="shared" si="4"/>
        <v>58013.111854041163</v>
      </c>
      <c r="H247" s="429">
        <f t="shared" si="7"/>
        <v>5351.7231544469614</v>
      </c>
      <c r="I247" s="429">
        <f t="shared" si="5"/>
        <v>1226400.4452132294</v>
      </c>
      <c r="J247" s="429">
        <f>SUM($H$18:$H247)</f>
        <v>5965655.1671654973</v>
      </c>
    </row>
    <row r="248" spans="1:10" ht="15" customHeight="1" x14ac:dyDescent="0.15">
      <c r="A248" s="427">
        <v>231</v>
      </c>
      <c r="B248" s="428">
        <f t="shared" si="0"/>
        <v>49400</v>
      </c>
      <c r="C248" s="429">
        <f t="shared" si="10"/>
        <v>1226400.4452132294</v>
      </c>
      <c r="D248" s="429">
        <f t="shared" si="1"/>
        <v>63364.835008488124</v>
      </c>
      <c r="E248" s="430">
        <f t="shared" si="2"/>
        <v>0</v>
      </c>
      <c r="F248" s="429">
        <f t="shared" si="3"/>
        <v>63364.835008488124</v>
      </c>
      <c r="G248" s="429">
        <f t="shared" si="4"/>
        <v>58254.833153432999</v>
      </c>
      <c r="H248" s="429">
        <f t="shared" si="7"/>
        <v>5110.0018550551222</v>
      </c>
      <c r="I248" s="429">
        <f t="shared" si="5"/>
        <v>1168145.6120597965</v>
      </c>
      <c r="J248" s="429">
        <f>SUM($H$18:$H248)</f>
        <v>5970765.1690205522</v>
      </c>
    </row>
    <row r="249" spans="1:10" ht="15" customHeight="1" x14ac:dyDescent="0.15">
      <c r="A249" s="427">
        <v>232</v>
      </c>
      <c r="B249" s="428">
        <f t="shared" si="0"/>
        <v>49430</v>
      </c>
      <c r="C249" s="429">
        <f t="shared" si="10"/>
        <v>1168145.6120597965</v>
      </c>
      <c r="D249" s="429">
        <f t="shared" si="1"/>
        <v>63364.835008488124</v>
      </c>
      <c r="E249" s="430">
        <f t="shared" si="2"/>
        <v>0</v>
      </c>
      <c r="F249" s="429">
        <f t="shared" si="3"/>
        <v>63364.835008488124</v>
      </c>
      <c r="G249" s="429">
        <f t="shared" si="4"/>
        <v>58497.56162490564</v>
      </c>
      <c r="H249" s="429">
        <f t="shared" si="7"/>
        <v>4867.2733835824856</v>
      </c>
      <c r="I249" s="429">
        <f t="shared" si="5"/>
        <v>1109648.0504348909</v>
      </c>
      <c r="J249" s="429">
        <f>SUM($H$18:$H249)</f>
        <v>5975632.4424041351</v>
      </c>
    </row>
    <row r="250" spans="1:10" ht="15" customHeight="1" x14ac:dyDescent="0.15">
      <c r="A250" s="427">
        <v>233</v>
      </c>
      <c r="B250" s="428">
        <f t="shared" si="0"/>
        <v>49461</v>
      </c>
      <c r="C250" s="429">
        <f t="shared" si="10"/>
        <v>1109648.0504348909</v>
      </c>
      <c r="D250" s="429">
        <f t="shared" si="1"/>
        <v>63364.835008488124</v>
      </c>
      <c r="E250" s="430">
        <f t="shared" si="2"/>
        <v>0</v>
      </c>
      <c r="F250" s="429">
        <f t="shared" si="3"/>
        <v>63364.835008488124</v>
      </c>
      <c r="G250" s="429">
        <f t="shared" si="4"/>
        <v>58741.301465009412</v>
      </c>
      <c r="H250" s="429">
        <f t="shared" si="7"/>
        <v>4623.5335434787121</v>
      </c>
      <c r="I250" s="429">
        <f t="shared" si="5"/>
        <v>1050906.7489698816</v>
      </c>
      <c r="J250" s="429">
        <f>SUM($H$18:$H250)</f>
        <v>5980255.9759476138</v>
      </c>
    </row>
    <row r="251" spans="1:10" ht="15" customHeight="1" x14ac:dyDescent="0.15">
      <c r="A251" s="427">
        <v>234</v>
      </c>
      <c r="B251" s="428">
        <f t="shared" si="0"/>
        <v>49491</v>
      </c>
      <c r="C251" s="429">
        <f t="shared" si="10"/>
        <v>1050906.7489698816</v>
      </c>
      <c r="D251" s="429">
        <f t="shared" si="1"/>
        <v>63364.835008488124</v>
      </c>
      <c r="E251" s="430">
        <f t="shared" si="2"/>
        <v>0</v>
      </c>
      <c r="F251" s="429">
        <f t="shared" si="3"/>
        <v>63364.835008488124</v>
      </c>
      <c r="G251" s="429">
        <f t="shared" si="4"/>
        <v>58986.056887780287</v>
      </c>
      <c r="H251" s="429">
        <f t="shared" si="7"/>
        <v>4378.7781207078397</v>
      </c>
      <c r="I251" s="429">
        <f t="shared" si="5"/>
        <v>991920.69208210125</v>
      </c>
      <c r="J251" s="429">
        <f>SUM($H$18:$H251)</f>
        <v>5984634.7540683215</v>
      </c>
    </row>
    <row r="252" spans="1:10" ht="15" customHeight="1" x14ac:dyDescent="0.15">
      <c r="A252" s="427">
        <v>235</v>
      </c>
      <c r="B252" s="428">
        <f t="shared" si="0"/>
        <v>49522</v>
      </c>
      <c r="C252" s="429">
        <f t="shared" si="10"/>
        <v>991920.69208210125</v>
      </c>
      <c r="D252" s="429">
        <f t="shared" si="1"/>
        <v>63364.835008488124</v>
      </c>
      <c r="E252" s="430">
        <f t="shared" si="2"/>
        <v>0</v>
      </c>
      <c r="F252" s="429">
        <f t="shared" si="3"/>
        <v>63364.835008488124</v>
      </c>
      <c r="G252" s="429">
        <f t="shared" si="4"/>
        <v>59231.832124812703</v>
      </c>
      <c r="H252" s="429">
        <f t="shared" si="7"/>
        <v>4133.0028836754218</v>
      </c>
      <c r="I252" s="429">
        <f t="shared" si="5"/>
        <v>932688.85995728849</v>
      </c>
      <c r="J252" s="429">
        <f>SUM($H$18:$H252)</f>
        <v>5988767.7569519971</v>
      </c>
    </row>
    <row r="253" spans="1:10" ht="15" customHeight="1" x14ac:dyDescent="0.15">
      <c r="A253" s="427">
        <v>236</v>
      </c>
      <c r="B253" s="428">
        <f t="shared" si="0"/>
        <v>49553</v>
      </c>
      <c r="C253" s="429">
        <f t="shared" si="10"/>
        <v>932688.85995728849</v>
      </c>
      <c r="D253" s="429">
        <f t="shared" si="1"/>
        <v>63364.835008488124</v>
      </c>
      <c r="E253" s="430">
        <f t="shared" si="2"/>
        <v>0</v>
      </c>
      <c r="F253" s="429">
        <f t="shared" si="3"/>
        <v>63364.835008488124</v>
      </c>
      <c r="G253" s="429">
        <f t="shared" si="4"/>
        <v>59478.631425332758</v>
      </c>
      <c r="H253" s="429">
        <f t="shared" si="7"/>
        <v>3886.203583155369</v>
      </c>
      <c r="I253" s="429">
        <f t="shared" si="5"/>
        <v>873210.22853195574</v>
      </c>
      <c r="J253" s="429">
        <f>SUM($H$18:$H253)</f>
        <v>5992653.9605351528</v>
      </c>
    </row>
    <row r="254" spans="1:10" ht="15" customHeight="1" x14ac:dyDescent="0.15">
      <c r="A254" s="427">
        <v>237</v>
      </c>
      <c r="B254" s="428">
        <f t="shared" si="0"/>
        <v>49583</v>
      </c>
      <c r="C254" s="429">
        <f t="shared" si="10"/>
        <v>873210.22853195574</v>
      </c>
      <c r="D254" s="429">
        <f t="shared" si="1"/>
        <v>63364.835008488124</v>
      </c>
      <c r="E254" s="430">
        <f t="shared" si="2"/>
        <v>0</v>
      </c>
      <c r="F254" s="429">
        <f t="shared" si="3"/>
        <v>63364.835008488124</v>
      </c>
      <c r="G254" s="429">
        <f t="shared" si="4"/>
        <v>59726.45905627164</v>
      </c>
      <c r="H254" s="429">
        <f t="shared" si="7"/>
        <v>3638.3759522164823</v>
      </c>
      <c r="I254" s="429">
        <f t="shared" si="5"/>
        <v>813483.76947568415</v>
      </c>
      <c r="J254" s="429">
        <f>SUM($H$18:$H254)</f>
        <v>5996292.3364873696</v>
      </c>
    </row>
    <row r="255" spans="1:10" ht="15" customHeight="1" x14ac:dyDescent="0.15">
      <c r="A255" s="427">
        <v>238</v>
      </c>
      <c r="B255" s="428">
        <f t="shared" si="0"/>
        <v>49614</v>
      </c>
      <c r="C255" s="429">
        <f t="shared" si="10"/>
        <v>813483.76947568415</v>
      </c>
      <c r="D255" s="429">
        <f t="shared" si="1"/>
        <v>63364.835008488124</v>
      </c>
      <c r="E255" s="430">
        <f t="shared" si="2"/>
        <v>0</v>
      </c>
      <c r="F255" s="429">
        <f t="shared" si="3"/>
        <v>63364.835008488124</v>
      </c>
      <c r="G255" s="429">
        <f t="shared" si="4"/>
        <v>59975.319302339441</v>
      </c>
      <c r="H255" s="429">
        <f t="shared" si="7"/>
        <v>3389.5157061486843</v>
      </c>
      <c r="I255" s="429">
        <f t="shared" si="5"/>
        <v>753508.4501733447</v>
      </c>
      <c r="J255" s="429">
        <f>SUM($H$18:$H255)</f>
        <v>5999681.8521935185</v>
      </c>
    </row>
    <row r="256" spans="1:10" ht="15" customHeight="1" x14ac:dyDescent="0.15">
      <c r="A256" s="427">
        <v>239</v>
      </c>
      <c r="B256" s="428">
        <f t="shared" si="0"/>
        <v>49644</v>
      </c>
      <c r="C256" s="429">
        <f t="shared" si="10"/>
        <v>753508.4501733447</v>
      </c>
      <c r="D256" s="429">
        <f t="shared" si="1"/>
        <v>63364.835008488124</v>
      </c>
      <c r="E256" s="430">
        <f t="shared" si="2"/>
        <v>0</v>
      </c>
      <c r="F256" s="429">
        <f t="shared" si="3"/>
        <v>63364.835008488124</v>
      </c>
      <c r="G256" s="429">
        <f t="shared" si="4"/>
        <v>60225.216466099184</v>
      </c>
      <c r="H256" s="429">
        <f t="shared" si="7"/>
        <v>3139.6185423889365</v>
      </c>
      <c r="I256" s="429">
        <f t="shared" si="5"/>
        <v>693283.23370724556</v>
      </c>
      <c r="J256" s="429">
        <f>SUM($H$18:$H256)</f>
        <v>6002821.4707359076</v>
      </c>
    </row>
    <row r="257" spans="1:10" ht="15" customHeight="1" x14ac:dyDescent="0.15">
      <c r="A257" s="427">
        <v>240</v>
      </c>
      <c r="B257" s="428">
        <f t="shared" si="0"/>
        <v>49675</v>
      </c>
      <c r="C257" s="429">
        <f t="shared" si="10"/>
        <v>693283.23370724556</v>
      </c>
      <c r="D257" s="429">
        <f t="shared" si="1"/>
        <v>63364.835008488124</v>
      </c>
      <c r="E257" s="430">
        <f t="shared" si="2"/>
        <v>0</v>
      </c>
      <c r="F257" s="429">
        <f t="shared" si="3"/>
        <v>63364.835008488124</v>
      </c>
      <c r="G257" s="429">
        <f t="shared" si="4"/>
        <v>60476.154868041267</v>
      </c>
      <c r="H257" s="429">
        <f t="shared" si="7"/>
        <v>2888.6801404468565</v>
      </c>
      <c r="I257" s="429">
        <f t="shared" si="5"/>
        <v>632807.07883920427</v>
      </c>
      <c r="J257" s="429">
        <f>SUM($H$18:$H257)</f>
        <v>6005710.1508763544</v>
      </c>
    </row>
    <row r="258" spans="1:10" ht="15" customHeight="1" x14ac:dyDescent="0.15">
      <c r="A258" s="427">
        <v>241</v>
      </c>
      <c r="B258" s="428">
        <f t="shared" si="0"/>
        <v>49706</v>
      </c>
      <c r="C258" s="429">
        <f t="shared" si="10"/>
        <v>632807.07883920427</v>
      </c>
      <c r="D258" s="429">
        <f t="shared" si="1"/>
        <v>63364.835008488124</v>
      </c>
      <c r="E258" s="430">
        <f t="shared" si="2"/>
        <v>0</v>
      </c>
      <c r="F258" s="429">
        <f t="shared" si="3"/>
        <v>63364.835008488124</v>
      </c>
      <c r="G258" s="429">
        <f t="shared" si="4"/>
        <v>60728.138846658105</v>
      </c>
      <c r="H258" s="429">
        <f t="shared" si="7"/>
        <v>2636.6961618300179</v>
      </c>
      <c r="I258" s="429">
        <f t="shared" si="5"/>
        <v>572078.93999254622</v>
      </c>
      <c r="J258" s="429">
        <f>SUM($H$18:$H258)</f>
        <v>6008346.8470381843</v>
      </c>
    </row>
    <row r="259" spans="1:10" ht="15" customHeight="1" x14ac:dyDescent="0.15">
      <c r="A259" s="427">
        <v>242</v>
      </c>
      <c r="B259" s="428">
        <f t="shared" si="0"/>
        <v>49735</v>
      </c>
      <c r="C259" s="429">
        <f t="shared" si="10"/>
        <v>572078.93999254622</v>
      </c>
      <c r="D259" s="429">
        <f t="shared" si="1"/>
        <v>63364.835008488124</v>
      </c>
      <c r="E259" s="430">
        <f t="shared" si="2"/>
        <v>0</v>
      </c>
      <c r="F259" s="429">
        <f t="shared" si="3"/>
        <v>63364.835008488124</v>
      </c>
      <c r="G259" s="429">
        <f t="shared" si="4"/>
        <v>60981.172758519184</v>
      </c>
      <c r="H259" s="429">
        <f t="shared" si="7"/>
        <v>2383.6622499689424</v>
      </c>
      <c r="I259" s="429">
        <f t="shared" si="5"/>
        <v>511097.76723402704</v>
      </c>
      <c r="J259" s="429">
        <f>SUM($H$18:$H259)</f>
        <v>6010730.5092881536</v>
      </c>
    </row>
    <row r="260" spans="1:10" ht="15" customHeight="1" x14ac:dyDescent="0.15">
      <c r="A260" s="427">
        <v>243</v>
      </c>
      <c r="B260" s="428">
        <f t="shared" si="0"/>
        <v>49766</v>
      </c>
      <c r="C260" s="429">
        <f t="shared" si="10"/>
        <v>511097.76723402704</v>
      </c>
      <c r="D260" s="429">
        <f t="shared" si="1"/>
        <v>63364.835008488124</v>
      </c>
      <c r="E260" s="430">
        <f t="shared" si="2"/>
        <v>0</v>
      </c>
      <c r="F260" s="429">
        <f t="shared" si="3"/>
        <v>63364.835008488124</v>
      </c>
      <c r="G260" s="429">
        <f t="shared" si="4"/>
        <v>61235.260978346341</v>
      </c>
      <c r="H260" s="429">
        <f t="shared" si="7"/>
        <v>2129.5740301417795</v>
      </c>
      <c r="I260" s="429">
        <f t="shared" si="5"/>
        <v>449862.5062556807</v>
      </c>
      <c r="J260" s="429">
        <f>SUM($H$18:$H260)</f>
        <v>6012860.083318295</v>
      </c>
    </row>
    <row r="261" spans="1:10" ht="15" customHeight="1" x14ac:dyDescent="0.15">
      <c r="A261" s="427">
        <v>244</v>
      </c>
      <c r="B261" s="428">
        <f t="shared" si="0"/>
        <v>49796</v>
      </c>
      <c r="C261" s="429">
        <f t="shared" si="10"/>
        <v>449862.5062556807</v>
      </c>
      <c r="D261" s="429">
        <f t="shared" si="1"/>
        <v>63364.835008488124</v>
      </c>
      <c r="E261" s="430">
        <f t="shared" si="2"/>
        <v>0</v>
      </c>
      <c r="F261" s="429">
        <f t="shared" si="3"/>
        <v>63364.835008488124</v>
      </c>
      <c r="G261" s="429">
        <f t="shared" si="4"/>
        <v>61490.407899089456</v>
      </c>
      <c r="H261" s="429">
        <f t="shared" si="7"/>
        <v>1874.4271093986697</v>
      </c>
      <c r="I261" s="429">
        <f t="shared" si="5"/>
        <v>388372.09835659125</v>
      </c>
      <c r="J261" s="429">
        <f>SUM($H$18:$H261)</f>
        <v>6014734.5104276938</v>
      </c>
    </row>
    <row r="262" spans="1:10" ht="15" customHeight="1" x14ac:dyDescent="0.15">
      <c r="A262" s="427">
        <v>245</v>
      </c>
      <c r="B262" s="428">
        <f t="shared" si="0"/>
        <v>49827</v>
      </c>
      <c r="C262" s="429">
        <f t="shared" si="10"/>
        <v>388372.09835659125</v>
      </c>
      <c r="D262" s="429">
        <f t="shared" si="1"/>
        <v>63364.835008488124</v>
      </c>
      <c r="E262" s="430">
        <f t="shared" si="2"/>
        <v>0</v>
      </c>
      <c r="F262" s="429">
        <f t="shared" si="3"/>
        <v>63364.835008488124</v>
      </c>
      <c r="G262" s="429">
        <f t="shared" si="4"/>
        <v>61746.617932002329</v>
      </c>
      <c r="H262" s="429">
        <f t="shared" si="7"/>
        <v>1618.2170764857967</v>
      </c>
      <c r="I262" s="429">
        <f t="shared" si="5"/>
        <v>326625.4804245889</v>
      </c>
      <c r="J262" s="429">
        <f>SUM($H$18:$H262)</f>
        <v>6016352.7275041798</v>
      </c>
    </row>
    <row r="263" spans="1:10" ht="15" customHeight="1" x14ac:dyDescent="0.15">
      <c r="A263" s="427">
        <v>246</v>
      </c>
      <c r="B263" s="428">
        <f t="shared" si="0"/>
        <v>49857</v>
      </c>
      <c r="C263" s="429">
        <f t="shared" si="10"/>
        <v>326625.4804245889</v>
      </c>
      <c r="D263" s="429">
        <f t="shared" si="1"/>
        <v>63364.835008488124</v>
      </c>
      <c r="E263" s="430">
        <f t="shared" si="2"/>
        <v>0</v>
      </c>
      <c r="F263" s="429">
        <f t="shared" si="3"/>
        <v>63364.835008488124</v>
      </c>
      <c r="G263" s="429">
        <f t="shared" si="4"/>
        <v>62003.895506719004</v>
      </c>
      <c r="H263" s="429">
        <f t="shared" si="7"/>
        <v>1360.9395017691204</v>
      </c>
      <c r="I263" s="429">
        <f t="shared" si="5"/>
        <v>264621.58491786988</v>
      </c>
      <c r="J263" s="429">
        <f>SUM($H$18:$H263)</f>
        <v>6017713.6670059487</v>
      </c>
    </row>
    <row r="264" spans="1:10" ht="15" customHeight="1" x14ac:dyDescent="0.15">
      <c r="A264" s="427">
        <v>247</v>
      </c>
      <c r="B264" s="428">
        <f t="shared" si="0"/>
        <v>49888</v>
      </c>
      <c r="C264" s="429">
        <f t="shared" si="10"/>
        <v>264621.58491786988</v>
      </c>
      <c r="D264" s="429">
        <f t="shared" si="1"/>
        <v>63364.835008488124</v>
      </c>
      <c r="E264" s="430">
        <f t="shared" si="2"/>
        <v>0</v>
      </c>
      <c r="F264" s="429">
        <f t="shared" si="3"/>
        <v>63364.835008488124</v>
      </c>
      <c r="G264" s="429">
        <f t="shared" si="4"/>
        <v>62262.245071330333</v>
      </c>
      <c r="H264" s="429">
        <f t="shared" si="7"/>
        <v>1102.5899371577914</v>
      </c>
      <c r="I264" s="429">
        <f t="shared" si="5"/>
        <v>202359.33984653954</v>
      </c>
      <c r="J264" s="429">
        <f>SUM($H$18:$H264)</f>
        <v>6018816.2569431067</v>
      </c>
    </row>
    <row r="265" spans="1:10" ht="15" customHeight="1" x14ac:dyDescent="0.15">
      <c r="A265" s="427">
        <v>248</v>
      </c>
      <c r="B265" s="428">
        <f t="shared" si="0"/>
        <v>49919</v>
      </c>
      <c r="C265" s="429">
        <f t="shared" si="10"/>
        <v>202359.33984653954</v>
      </c>
      <c r="D265" s="429">
        <f t="shared" si="1"/>
        <v>63364.835008488124</v>
      </c>
      <c r="E265" s="430">
        <f t="shared" si="2"/>
        <v>0</v>
      </c>
      <c r="F265" s="429">
        <f t="shared" si="3"/>
        <v>63364.835008488124</v>
      </c>
      <c r="G265" s="429">
        <f t="shared" si="4"/>
        <v>62521.671092460878</v>
      </c>
      <c r="H265" s="429">
        <f t="shared" si="7"/>
        <v>843.16391602724809</v>
      </c>
      <c r="I265" s="429">
        <f t="shared" si="5"/>
        <v>139837.66875407868</v>
      </c>
      <c r="J265" s="429">
        <f>SUM($H$18:$H265)</f>
        <v>6019659.4208591338</v>
      </c>
    </row>
    <row r="266" spans="1:10" ht="15" customHeight="1" x14ac:dyDescent="0.15">
      <c r="A266" s="427">
        <v>249</v>
      </c>
      <c r="B266" s="428">
        <f t="shared" si="0"/>
        <v>49949</v>
      </c>
      <c r="C266" s="429">
        <f t="shared" si="10"/>
        <v>139837.66875407868</v>
      </c>
      <c r="D266" s="429">
        <f t="shared" si="1"/>
        <v>63364.835008488124</v>
      </c>
      <c r="E266" s="430">
        <f t="shared" si="2"/>
        <v>0</v>
      </c>
      <c r="F266" s="429">
        <f t="shared" si="3"/>
        <v>63364.835008488124</v>
      </c>
      <c r="G266" s="429">
        <f t="shared" si="4"/>
        <v>62782.178055346129</v>
      </c>
      <c r="H266" s="429">
        <f t="shared" si="7"/>
        <v>582.65695314199456</v>
      </c>
      <c r="I266" s="429">
        <f t="shared" si="5"/>
        <v>77055.490698732552</v>
      </c>
      <c r="J266" s="429">
        <f>SUM($H$18:$H266)</f>
        <v>6020242.0778122758</v>
      </c>
    </row>
    <row r="267" spans="1:10" ht="15" customHeight="1" x14ac:dyDescent="0.15">
      <c r="A267" s="427">
        <v>250</v>
      </c>
      <c r="B267" s="428">
        <f t="shared" si="0"/>
        <v>49980</v>
      </c>
      <c r="C267" s="429">
        <f t="shared" si="10"/>
        <v>77055.490698732552</v>
      </c>
      <c r="D267" s="429">
        <f t="shared" si="1"/>
        <v>63364.835008488124</v>
      </c>
      <c r="E267" s="430">
        <f t="shared" si="2"/>
        <v>0</v>
      </c>
      <c r="F267" s="429">
        <f t="shared" si="3"/>
        <v>63364.835008488124</v>
      </c>
      <c r="G267" s="429">
        <f t="shared" si="4"/>
        <v>63043.77046391007</v>
      </c>
      <c r="H267" s="429">
        <f t="shared" si="7"/>
        <v>321.06454457805233</v>
      </c>
      <c r="I267" s="429">
        <f t="shared" si="5"/>
        <v>14011.720234822482</v>
      </c>
      <c r="J267" s="429">
        <f>SUM($H$18:$H267)</f>
        <v>6020563.1423568539</v>
      </c>
    </row>
    <row r="268" spans="1:10" ht="15" customHeight="1" x14ac:dyDescent="0.15">
      <c r="A268" s="427">
        <v>251</v>
      </c>
      <c r="B268" s="428">
        <f t="shared" si="0"/>
        <v>50010</v>
      </c>
      <c r="C268" s="429">
        <f t="shared" si="10"/>
        <v>14011.720234822482</v>
      </c>
      <c r="D268" s="429">
        <f t="shared" si="1"/>
        <v>63364.835008488124</v>
      </c>
      <c r="E268" s="430">
        <f t="shared" si="2"/>
        <v>0</v>
      </c>
      <c r="F268" s="429">
        <f t="shared" si="3"/>
        <v>14011.720234822482</v>
      </c>
      <c r="G268" s="429">
        <f t="shared" si="4"/>
        <v>13953.338067177388</v>
      </c>
      <c r="H268" s="429">
        <f t="shared" si="7"/>
        <v>58.382167645093681</v>
      </c>
      <c r="I268" s="429">
        <f t="shared" si="5"/>
        <v>0</v>
      </c>
      <c r="J268" s="429">
        <f>SUM($H$18:$H268)</f>
        <v>6020621.5245244987</v>
      </c>
    </row>
    <row r="269" spans="1:10" ht="15" customHeight="1" x14ac:dyDescent="0.15">
      <c r="A269" s="427">
        <v>252</v>
      </c>
      <c r="B269" s="428">
        <f t="shared" si="0"/>
        <v>50041</v>
      </c>
      <c r="C269" s="429">
        <f t="shared" si="10"/>
        <v>0</v>
      </c>
      <c r="D269" s="429">
        <f t="shared" si="1"/>
        <v>63364.835008488124</v>
      </c>
      <c r="E269" s="430">
        <f t="shared" si="2"/>
        <v>0</v>
      </c>
      <c r="F269" s="429">
        <f t="shared" si="3"/>
        <v>0</v>
      </c>
      <c r="G269" s="429">
        <f t="shared" si="4"/>
        <v>0</v>
      </c>
      <c r="H269" s="429">
        <f t="shared" si="7"/>
        <v>0</v>
      </c>
      <c r="I269" s="429">
        <f t="shared" si="5"/>
        <v>0</v>
      </c>
      <c r="J269" s="429">
        <f>SUM($H$18:$H269)</f>
        <v>6020621.5245244987</v>
      </c>
    </row>
    <row r="270" spans="1:10" ht="15" customHeight="1" x14ac:dyDescent="0.15">
      <c r="A270" s="427">
        <v>253</v>
      </c>
      <c r="B270" s="428">
        <f t="shared" si="0"/>
        <v>50072</v>
      </c>
      <c r="C270" s="429">
        <f t="shared" si="10"/>
        <v>0</v>
      </c>
      <c r="D270" s="429">
        <f t="shared" si="1"/>
        <v>63364.835008488124</v>
      </c>
      <c r="E270" s="430">
        <f t="shared" si="2"/>
        <v>0</v>
      </c>
      <c r="F270" s="429">
        <f t="shared" si="3"/>
        <v>0</v>
      </c>
      <c r="G270" s="429">
        <f t="shared" si="4"/>
        <v>0</v>
      </c>
      <c r="H270" s="429">
        <f t="shared" si="7"/>
        <v>0</v>
      </c>
      <c r="I270" s="429">
        <f t="shared" si="5"/>
        <v>0</v>
      </c>
      <c r="J270" s="429">
        <f>SUM($H$18:$H270)</f>
        <v>6020621.5245244987</v>
      </c>
    </row>
    <row r="271" spans="1:10" ht="15" customHeight="1" x14ac:dyDescent="0.15">
      <c r="A271" s="427">
        <v>254</v>
      </c>
      <c r="B271" s="428">
        <f t="shared" si="0"/>
        <v>50100</v>
      </c>
      <c r="C271" s="429">
        <f t="shared" si="10"/>
        <v>0</v>
      </c>
      <c r="D271" s="429">
        <f t="shared" si="1"/>
        <v>63364.835008488124</v>
      </c>
      <c r="E271" s="430">
        <f t="shared" si="2"/>
        <v>0</v>
      </c>
      <c r="F271" s="429">
        <f t="shared" si="3"/>
        <v>0</v>
      </c>
      <c r="G271" s="429">
        <f t="shared" si="4"/>
        <v>0</v>
      </c>
      <c r="H271" s="429">
        <f t="shared" si="7"/>
        <v>0</v>
      </c>
      <c r="I271" s="429">
        <f t="shared" si="5"/>
        <v>0</v>
      </c>
      <c r="J271" s="429">
        <f>SUM($H$18:$H271)</f>
        <v>6020621.5245244987</v>
      </c>
    </row>
    <row r="272" spans="1:10" ht="15" customHeight="1" x14ac:dyDescent="0.15">
      <c r="A272" s="427">
        <v>255</v>
      </c>
      <c r="B272" s="428">
        <f t="shared" si="0"/>
        <v>50131</v>
      </c>
      <c r="C272" s="429">
        <f t="shared" si="10"/>
        <v>0</v>
      </c>
      <c r="D272" s="429">
        <f t="shared" si="1"/>
        <v>63364.835008488124</v>
      </c>
      <c r="E272" s="430">
        <f t="shared" si="2"/>
        <v>0</v>
      </c>
      <c r="F272" s="429">
        <f t="shared" si="3"/>
        <v>0</v>
      </c>
      <c r="G272" s="429">
        <f t="shared" si="4"/>
        <v>0</v>
      </c>
      <c r="H272" s="429">
        <f t="shared" si="7"/>
        <v>0</v>
      </c>
      <c r="I272" s="429">
        <f t="shared" si="5"/>
        <v>0</v>
      </c>
      <c r="J272" s="429">
        <f>SUM($H$18:$H272)</f>
        <v>6020621.5245244987</v>
      </c>
    </row>
    <row r="273" spans="1:10" ht="15" customHeight="1" x14ac:dyDescent="0.15">
      <c r="A273" s="427">
        <v>256</v>
      </c>
      <c r="B273" s="428">
        <f t="shared" ref="B273:B377" si="11">IF($A$18:$A$377&lt;&gt;"",DATE(YEAR($D$9),MONTH($D$9)+($A$18:$A$377)*12/$D$8,DAY($D$9)),"")</f>
        <v>50161</v>
      </c>
      <c r="C273" s="429">
        <f t="shared" si="10"/>
        <v>0</v>
      </c>
      <c r="D273" s="429">
        <f t="shared" ref="D273:D377" si="12">IF($A$18:$A$377&lt;&gt;"",$H$5,"")</f>
        <v>63364.835008488124</v>
      </c>
      <c r="E273" s="430">
        <f t="shared" ref="E273:E377" si="13">IF(AND($A$18:$A$377&lt;&gt;"",$D$18:$D$377+$D$10&lt;$C$18:$C$377),$D$10,IF(AND($A$18:$A$377&lt;&gt;"",$C$18:$C$377-$D$18:$D$377&gt;0),$C$18:$C$377-$D$18:$D$377,IF($A$18:$A$377&lt;&gt;"",0,"")))</f>
        <v>0</v>
      </c>
      <c r="F273" s="429">
        <f t="shared" ref="F273:F377" si="14">IF(AND($A$18:$A$377&lt;&gt;"",$D$18:$D$377+$E$18:$E$377&lt;$C$18:$C$377),$D$18:$D$377+$E$18:$E$377,IF($A$18:$A$377&lt;&gt;"",$C$18:$C$377,""))</f>
        <v>0</v>
      </c>
      <c r="G273" s="429">
        <f t="shared" ref="G273:G377" si="15">IF($A$18:$A$377&lt;&gt;"",$F$18:$F$377-$H$18:$H$377,"")</f>
        <v>0</v>
      </c>
      <c r="H273" s="429">
        <f t="shared" si="7"/>
        <v>0</v>
      </c>
      <c r="I273" s="429">
        <f t="shared" ref="I273:I377" si="16">IF(AND($A$18:$A$377&lt;&gt;"",$D$18:$D$377+$E$18:$E$377&lt;$C$18:$C$377),$C$18:$C$377-$G$18:$G$377,IF($A$18:$A$377&lt;&gt;"",0,""))</f>
        <v>0</v>
      </c>
      <c r="J273" s="429">
        <f>SUM($H$18:$H273)</f>
        <v>6020621.5245244987</v>
      </c>
    </row>
    <row r="274" spans="1:10" ht="15" customHeight="1" x14ac:dyDescent="0.15">
      <c r="A274" s="427">
        <v>257</v>
      </c>
      <c r="B274" s="428">
        <f t="shared" si="11"/>
        <v>50192</v>
      </c>
      <c r="C274" s="429">
        <f t="shared" si="10"/>
        <v>0</v>
      </c>
      <c r="D274" s="429">
        <f t="shared" si="12"/>
        <v>63364.835008488124</v>
      </c>
      <c r="E274" s="430">
        <f t="shared" si="13"/>
        <v>0</v>
      </c>
      <c r="F274" s="429">
        <f t="shared" si="14"/>
        <v>0</v>
      </c>
      <c r="G274" s="429">
        <f t="shared" si="15"/>
        <v>0</v>
      </c>
      <c r="H274" s="429">
        <f t="shared" ref="H274:H377" si="17">IF($A$18:$A$377&lt;&gt;"",$C$18:$C$377*$D$6/$D$8,"")</f>
        <v>0</v>
      </c>
      <c r="I274" s="429">
        <f t="shared" si="16"/>
        <v>0</v>
      </c>
      <c r="J274" s="429">
        <f>SUM($H$18:$H274)</f>
        <v>6020621.5245244987</v>
      </c>
    </row>
    <row r="275" spans="1:10" ht="15" customHeight="1" x14ac:dyDescent="0.15">
      <c r="A275" s="427">
        <v>258</v>
      </c>
      <c r="B275" s="428">
        <f t="shared" si="11"/>
        <v>50222</v>
      </c>
      <c r="C275" s="429">
        <f t="shared" ref="C275:C338" si="18">IF($A$18:$A$377&lt;&gt;"",I274,"")</f>
        <v>0</v>
      </c>
      <c r="D275" s="429">
        <f t="shared" si="12"/>
        <v>63364.835008488124</v>
      </c>
      <c r="E275" s="430">
        <f t="shared" si="13"/>
        <v>0</v>
      </c>
      <c r="F275" s="429">
        <f t="shared" si="14"/>
        <v>0</v>
      </c>
      <c r="G275" s="429">
        <f t="shared" si="15"/>
        <v>0</v>
      </c>
      <c r="H275" s="429">
        <f t="shared" si="17"/>
        <v>0</v>
      </c>
      <c r="I275" s="429">
        <f t="shared" si="16"/>
        <v>0</v>
      </c>
      <c r="J275" s="429">
        <f>SUM($H$18:$H275)</f>
        <v>6020621.5245244987</v>
      </c>
    </row>
    <row r="276" spans="1:10" ht="15" customHeight="1" x14ac:dyDescent="0.15">
      <c r="A276" s="427">
        <v>259</v>
      </c>
      <c r="B276" s="428">
        <f t="shared" si="11"/>
        <v>50253</v>
      </c>
      <c r="C276" s="429">
        <f t="shared" si="18"/>
        <v>0</v>
      </c>
      <c r="D276" s="429">
        <f t="shared" si="12"/>
        <v>63364.835008488124</v>
      </c>
      <c r="E276" s="430">
        <f t="shared" si="13"/>
        <v>0</v>
      </c>
      <c r="F276" s="429">
        <f t="shared" si="14"/>
        <v>0</v>
      </c>
      <c r="G276" s="429">
        <f t="shared" si="15"/>
        <v>0</v>
      </c>
      <c r="H276" s="429">
        <f t="shared" si="17"/>
        <v>0</v>
      </c>
      <c r="I276" s="429">
        <f t="shared" si="16"/>
        <v>0</v>
      </c>
      <c r="J276" s="429">
        <f>SUM($H$18:$H276)</f>
        <v>6020621.5245244987</v>
      </c>
    </row>
    <row r="277" spans="1:10" ht="15" customHeight="1" x14ac:dyDescent="0.15">
      <c r="A277" s="427">
        <v>260</v>
      </c>
      <c r="B277" s="428">
        <f t="shared" si="11"/>
        <v>50284</v>
      </c>
      <c r="C277" s="429">
        <f t="shared" si="18"/>
        <v>0</v>
      </c>
      <c r="D277" s="429">
        <f t="shared" si="12"/>
        <v>63364.835008488124</v>
      </c>
      <c r="E277" s="430">
        <f t="shared" si="13"/>
        <v>0</v>
      </c>
      <c r="F277" s="429">
        <f t="shared" si="14"/>
        <v>0</v>
      </c>
      <c r="G277" s="429">
        <f t="shared" si="15"/>
        <v>0</v>
      </c>
      <c r="H277" s="429">
        <f t="shared" si="17"/>
        <v>0</v>
      </c>
      <c r="I277" s="429">
        <f t="shared" si="16"/>
        <v>0</v>
      </c>
      <c r="J277" s="429">
        <f>SUM($H$18:$H277)</f>
        <v>6020621.5245244987</v>
      </c>
    </row>
    <row r="278" spans="1:10" ht="15" customHeight="1" x14ac:dyDescent="0.15">
      <c r="A278" s="427">
        <v>261</v>
      </c>
      <c r="B278" s="428">
        <f t="shared" si="11"/>
        <v>50314</v>
      </c>
      <c r="C278" s="429">
        <f t="shared" si="18"/>
        <v>0</v>
      </c>
      <c r="D278" s="429">
        <f t="shared" si="12"/>
        <v>63364.835008488124</v>
      </c>
      <c r="E278" s="430">
        <f t="shared" si="13"/>
        <v>0</v>
      </c>
      <c r="F278" s="429">
        <f t="shared" si="14"/>
        <v>0</v>
      </c>
      <c r="G278" s="429">
        <f t="shared" si="15"/>
        <v>0</v>
      </c>
      <c r="H278" s="429">
        <f t="shared" si="17"/>
        <v>0</v>
      </c>
      <c r="I278" s="429">
        <f t="shared" si="16"/>
        <v>0</v>
      </c>
      <c r="J278" s="429">
        <f>SUM($H$18:$H278)</f>
        <v>6020621.5245244987</v>
      </c>
    </row>
    <row r="279" spans="1:10" ht="15" customHeight="1" x14ac:dyDescent="0.15">
      <c r="A279" s="427">
        <v>262</v>
      </c>
      <c r="B279" s="428">
        <f t="shared" si="11"/>
        <v>50345</v>
      </c>
      <c r="C279" s="429">
        <f t="shared" si="18"/>
        <v>0</v>
      </c>
      <c r="D279" s="429">
        <f t="shared" si="12"/>
        <v>63364.835008488124</v>
      </c>
      <c r="E279" s="430">
        <f t="shared" si="13"/>
        <v>0</v>
      </c>
      <c r="F279" s="429">
        <f t="shared" si="14"/>
        <v>0</v>
      </c>
      <c r="G279" s="429">
        <f t="shared" si="15"/>
        <v>0</v>
      </c>
      <c r="H279" s="429">
        <f t="shared" si="17"/>
        <v>0</v>
      </c>
      <c r="I279" s="429">
        <f t="shared" si="16"/>
        <v>0</v>
      </c>
      <c r="J279" s="429">
        <f>SUM($H$18:$H279)</f>
        <v>6020621.5245244987</v>
      </c>
    </row>
    <row r="280" spans="1:10" ht="15" customHeight="1" x14ac:dyDescent="0.15">
      <c r="A280" s="427">
        <v>263</v>
      </c>
      <c r="B280" s="428">
        <f t="shared" si="11"/>
        <v>50375</v>
      </c>
      <c r="C280" s="429">
        <f t="shared" si="18"/>
        <v>0</v>
      </c>
      <c r="D280" s="429">
        <f t="shared" si="12"/>
        <v>63364.835008488124</v>
      </c>
      <c r="E280" s="430">
        <f t="shared" si="13"/>
        <v>0</v>
      </c>
      <c r="F280" s="429">
        <f t="shared" si="14"/>
        <v>0</v>
      </c>
      <c r="G280" s="429">
        <f t="shared" si="15"/>
        <v>0</v>
      </c>
      <c r="H280" s="429">
        <f t="shared" si="17"/>
        <v>0</v>
      </c>
      <c r="I280" s="429">
        <f t="shared" si="16"/>
        <v>0</v>
      </c>
      <c r="J280" s="429">
        <f>SUM($H$18:$H280)</f>
        <v>6020621.5245244987</v>
      </c>
    </row>
    <row r="281" spans="1:10" ht="15" customHeight="1" x14ac:dyDescent="0.15">
      <c r="A281" s="427">
        <v>264</v>
      </c>
      <c r="B281" s="428">
        <f t="shared" si="11"/>
        <v>50406</v>
      </c>
      <c r="C281" s="429">
        <f t="shared" si="18"/>
        <v>0</v>
      </c>
      <c r="D281" s="429">
        <f t="shared" si="12"/>
        <v>63364.835008488124</v>
      </c>
      <c r="E281" s="430">
        <f t="shared" si="13"/>
        <v>0</v>
      </c>
      <c r="F281" s="429">
        <f t="shared" si="14"/>
        <v>0</v>
      </c>
      <c r="G281" s="429">
        <f t="shared" si="15"/>
        <v>0</v>
      </c>
      <c r="H281" s="429">
        <f t="shared" si="17"/>
        <v>0</v>
      </c>
      <c r="I281" s="429">
        <f t="shared" si="16"/>
        <v>0</v>
      </c>
      <c r="J281" s="429">
        <f>SUM($H$18:$H281)</f>
        <v>6020621.5245244987</v>
      </c>
    </row>
    <row r="282" spans="1:10" ht="15" customHeight="1" x14ac:dyDescent="0.15">
      <c r="A282" s="427">
        <v>265</v>
      </c>
      <c r="B282" s="428">
        <f t="shared" si="11"/>
        <v>50437</v>
      </c>
      <c r="C282" s="429">
        <f t="shared" si="18"/>
        <v>0</v>
      </c>
      <c r="D282" s="429">
        <f t="shared" si="12"/>
        <v>63364.835008488124</v>
      </c>
      <c r="E282" s="430">
        <f t="shared" si="13"/>
        <v>0</v>
      </c>
      <c r="F282" s="429">
        <f t="shared" si="14"/>
        <v>0</v>
      </c>
      <c r="G282" s="429">
        <f t="shared" si="15"/>
        <v>0</v>
      </c>
      <c r="H282" s="429">
        <f t="shared" si="17"/>
        <v>0</v>
      </c>
      <c r="I282" s="429">
        <f t="shared" si="16"/>
        <v>0</v>
      </c>
      <c r="J282" s="429">
        <f>SUM($H$18:$H282)</f>
        <v>6020621.5245244987</v>
      </c>
    </row>
    <row r="283" spans="1:10" ht="15" customHeight="1" x14ac:dyDescent="0.15">
      <c r="A283" s="427">
        <v>266</v>
      </c>
      <c r="B283" s="428">
        <f t="shared" si="11"/>
        <v>50465</v>
      </c>
      <c r="C283" s="429">
        <f t="shared" si="18"/>
        <v>0</v>
      </c>
      <c r="D283" s="429">
        <f t="shared" si="12"/>
        <v>63364.835008488124</v>
      </c>
      <c r="E283" s="430">
        <f t="shared" si="13"/>
        <v>0</v>
      </c>
      <c r="F283" s="429">
        <f t="shared" si="14"/>
        <v>0</v>
      </c>
      <c r="G283" s="429">
        <f t="shared" si="15"/>
        <v>0</v>
      </c>
      <c r="H283" s="429">
        <f t="shared" si="17"/>
        <v>0</v>
      </c>
      <c r="I283" s="429">
        <f t="shared" si="16"/>
        <v>0</v>
      </c>
      <c r="J283" s="429">
        <f>SUM($H$18:$H283)</f>
        <v>6020621.5245244987</v>
      </c>
    </row>
    <row r="284" spans="1:10" ht="15" customHeight="1" x14ac:dyDescent="0.15">
      <c r="A284" s="427">
        <v>267</v>
      </c>
      <c r="B284" s="428">
        <f t="shared" si="11"/>
        <v>50496</v>
      </c>
      <c r="C284" s="429">
        <f t="shared" si="18"/>
        <v>0</v>
      </c>
      <c r="D284" s="429">
        <f t="shared" si="12"/>
        <v>63364.835008488124</v>
      </c>
      <c r="E284" s="430">
        <f t="shared" si="13"/>
        <v>0</v>
      </c>
      <c r="F284" s="429">
        <f t="shared" si="14"/>
        <v>0</v>
      </c>
      <c r="G284" s="429">
        <f t="shared" si="15"/>
        <v>0</v>
      </c>
      <c r="H284" s="429">
        <f t="shared" si="17"/>
        <v>0</v>
      </c>
      <c r="I284" s="429">
        <f t="shared" si="16"/>
        <v>0</v>
      </c>
      <c r="J284" s="429">
        <f>SUM($H$18:$H284)</f>
        <v>6020621.5245244987</v>
      </c>
    </row>
    <row r="285" spans="1:10" ht="15" customHeight="1" x14ac:dyDescent="0.15">
      <c r="A285" s="427">
        <v>268</v>
      </c>
      <c r="B285" s="428">
        <f t="shared" si="11"/>
        <v>50526</v>
      </c>
      <c r="C285" s="429">
        <f t="shared" si="18"/>
        <v>0</v>
      </c>
      <c r="D285" s="429">
        <f t="shared" si="12"/>
        <v>63364.835008488124</v>
      </c>
      <c r="E285" s="430">
        <f t="shared" si="13"/>
        <v>0</v>
      </c>
      <c r="F285" s="429">
        <f t="shared" si="14"/>
        <v>0</v>
      </c>
      <c r="G285" s="429">
        <f t="shared" si="15"/>
        <v>0</v>
      </c>
      <c r="H285" s="429">
        <f t="shared" si="17"/>
        <v>0</v>
      </c>
      <c r="I285" s="429">
        <f t="shared" si="16"/>
        <v>0</v>
      </c>
      <c r="J285" s="429">
        <f>SUM($H$18:$H285)</f>
        <v>6020621.5245244987</v>
      </c>
    </row>
    <row r="286" spans="1:10" ht="15" customHeight="1" x14ac:dyDescent="0.15">
      <c r="A286" s="427">
        <v>269</v>
      </c>
      <c r="B286" s="428">
        <f t="shared" si="11"/>
        <v>50557</v>
      </c>
      <c r="C286" s="429">
        <f t="shared" si="18"/>
        <v>0</v>
      </c>
      <c r="D286" s="429">
        <f t="shared" si="12"/>
        <v>63364.835008488124</v>
      </c>
      <c r="E286" s="430">
        <f t="shared" si="13"/>
        <v>0</v>
      </c>
      <c r="F286" s="429">
        <f t="shared" si="14"/>
        <v>0</v>
      </c>
      <c r="G286" s="429">
        <f t="shared" si="15"/>
        <v>0</v>
      </c>
      <c r="H286" s="429">
        <f t="shared" si="17"/>
        <v>0</v>
      </c>
      <c r="I286" s="429">
        <f t="shared" si="16"/>
        <v>0</v>
      </c>
      <c r="J286" s="429">
        <f>SUM($H$18:$H286)</f>
        <v>6020621.5245244987</v>
      </c>
    </row>
    <row r="287" spans="1:10" ht="15" customHeight="1" x14ac:dyDescent="0.15">
      <c r="A287" s="427">
        <v>270</v>
      </c>
      <c r="B287" s="428">
        <f t="shared" si="11"/>
        <v>50587</v>
      </c>
      <c r="C287" s="429">
        <f t="shared" si="18"/>
        <v>0</v>
      </c>
      <c r="D287" s="429">
        <f t="shared" si="12"/>
        <v>63364.835008488124</v>
      </c>
      <c r="E287" s="430">
        <f t="shared" si="13"/>
        <v>0</v>
      </c>
      <c r="F287" s="429">
        <f t="shared" si="14"/>
        <v>0</v>
      </c>
      <c r="G287" s="429">
        <f t="shared" si="15"/>
        <v>0</v>
      </c>
      <c r="H287" s="429">
        <f t="shared" si="17"/>
        <v>0</v>
      </c>
      <c r="I287" s="429">
        <f t="shared" si="16"/>
        <v>0</v>
      </c>
      <c r="J287" s="429">
        <f>SUM($H$18:$H287)</f>
        <v>6020621.5245244987</v>
      </c>
    </row>
    <row r="288" spans="1:10" ht="15" customHeight="1" x14ac:dyDescent="0.15">
      <c r="A288" s="427">
        <v>271</v>
      </c>
      <c r="B288" s="428">
        <f t="shared" si="11"/>
        <v>50618</v>
      </c>
      <c r="C288" s="429">
        <f t="shared" si="18"/>
        <v>0</v>
      </c>
      <c r="D288" s="429">
        <f t="shared" si="12"/>
        <v>63364.835008488124</v>
      </c>
      <c r="E288" s="430">
        <f t="shared" si="13"/>
        <v>0</v>
      </c>
      <c r="F288" s="429">
        <f t="shared" si="14"/>
        <v>0</v>
      </c>
      <c r="G288" s="429">
        <f t="shared" si="15"/>
        <v>0</v>
      </c>
      <c r="H288" s="429">
        <f t="shared" si="17"/>
        <v>0</v>
      </c>
      <c r="I288" s="429">
        <f t="shared" si="16"/>
        <v>0</v>
      </c>
      <c r="J288" s="429">
        <f>SUM($H$18:$H288)</f>
        <v>6020621.5245244987</v>
      </c>
    </row>
    <row r="289" spans="1:10" ht="15" customHeight="1" x14ac:dyDescent="0.15">
      <c r="A289" s="427">
        <v>272</v>
      </c>
      <c r="B289" s="428">
        <f t="shared" si="11"/>
        <v>50649</v>
      </c>
      <c r="C289" s="429">
        <f t="shared" si="18"/>
        <v>0</v>
      </c>
      <c r="D289" s="429">
        <f t="shared" si="12"/>
        <v>63364.835008488124</v>
      </c>
      <c r="E289" s="430">
        <f t="shared" si="13"/>
        <v>0</v>
      </c>
      <c r="F289" s="429">
        <f t="shared" si="14"/>
        <v>0</v>
      </c>
      <c r="G289" s="429">
        <f t="shared" si="15"/>
        <v>0</v>
      </c>
      <c r="H289" s="429">
        <f t="shared" si="17"/>
        <v>0</v>
      </c>
      <c r="I289" s="429">
        <f t="shared" si="16"/>
        <v>0</v>
      </c>
      <c r="J289" s="429">
        <f>SUM($H$18:$H289)</f>
        <v>6020621.5245244987</v>
      </c>
    </row>
    <row r="290" spans="1:10" ht="15" customHeight="1" x14ac:dyDescent="0.15">
      <c r="A290" s="427">
        <v>273</v>
      </c>
      <c r="B290" s="428">
        <f t="shared" si="11"/>
        <v>50679</v>
      </c>
      <c r="C290" s="429">
        <f t="shared" si="18"/>
        <v>0</v>
      </c>
      <c r="D290" s="429">
        <f t="shared" si="12"/>
        <v>63364.835008488124</v>
      </c>
      <c r="E290" s="430">
        <f t="shared" si="13"/>
        <v>0</v>
      </c>
      <c r="F290" s="429">
        <f t="shared" si="14"/>
        <v>0</v>
      </c>
      <c r="G290" s="429">
        <f t="shared" si="15"/>
        <v>0</v>
      </c>
      <c r="H290" s="429">
        <f t="shared" si="17"/>
        <v>0</v>
      </c>
      <c r="I290" s="429">
        <f t="shared" si="16"/>
        <v>0</v>
      </c>
      <c r="J290" s="429">
        <f>SUM($H$18:$H290)</f>
        <v>6020621.5245244987</v>
      </c>
    </row>
    <row r="291" spans="1:10" ht="15" customHeight="1" x14ac:dyDescent="0.15">
      <c r="A291" s="427">
        <v>274</v>
      </c>
      <c r="B291" s="428">
        <f t="shared" si="11"/>
        <v>50710</v>
      </c>
      <c r="C291" s="429">
        <f t="shared" si="18"/>
        <v>0</v>
      </c>
      <c r="D291" s="429">
        <f t="shared" si="12"/>
        <v>63364.835008488124</v>
      </c>
      <c r="E291" s="430">
        <f t="shared" si="13"/>
        <v>0</v>
      </c>
      <c r="F291" s="429">
        <f t="shared" si="14"/>
        <v>0</v>
      </c>
      <c r="G291" s="429">
        <f t="shared" si="15"/>
        <v>0</v>
      </c>
      <c r="H291" s="429">
        <f t="shared" si="17"/>
        <v>0</v>
      </c>
      <c r="I291" s="429">
        <f t="shared" si="16"/>
        <v>0</v>
      </c>
      <c r="J291" s="429">
        <f>SUM($H$18:$H291)</f>
        <v>6020621.5245244987</v>
      </c>
    </row>
    <row r="292" spans="1:10" ht="15" customHeight="1" x14ac:dyDescent="0.15">
      <c r="A292" s="427">
        <v>275</v>
      </c>
      <c r="B292" s="428">
        <f t="shared" si="11"/>
        <v>50740</v>
      </c>
      <c r="C292" s="429">
        <f t="shared" si="18"/>
        <v>0</v>
      </c>
      <c r="D292" s="429">
        <f t="shared" si="12"/>
        <v>63364.835008488124</v>
      </c>
      <c r="E292" s="430">
        <f t="shared" si="13"/>
        <v>0</v>
      </c>
      <c r="F292" s="429">
        <f t="shared" si="14"/>
        <v>0</v>
      </c>
      <c r="G292" s="429">
        <f t="shared" si="15"/>
        <v>0</v>
      </c>
      <c r="H292" s="429">
        <f t="shared" si="17"/>
        <v>0</v>
      </c>
      <c r="I292" s="429">
        <f t="shared" si="16"/>
        <v>0</v>
      </c>
      <c r="J292" s="429">
        <f>SUM($H$18:$H292)</f>
        <v>6020621.5245244987</v>
      </c>
    </row>
    <row r="293" spans="1:10" ht="15" customHeight="1" x14ac:dyDescent="0.15">
      <c r="A293" s="427">
        <v>276</v>
      </c>
      <c r="B293" s="428">
        <f t="shared" si="11"/>
        <v>50771</v>
      </c>
      <c r="C293" s="429">
        <f t="shared" si="18"/>
        <v>0</v>
      </c>
      <c r="D293" s="429">
        <f t="shared" si="12"/>
        <v>63364.835008488124</v>
      </c>
      <c r="E293" s="430">
        <f t="shared" si="13"/>
        <v>0</v>
      </c>
      <c r="F293" s="429">
        <f t="shared" si="14"/>
        <v>0</v>
      </c>
      <c r="G293" s="429">
        <f t="shared" si="15"/>
        <v>0</v>
      </c>
      <c r="H293" s="429">
        <f t="shared" si="17"/>
        <v>0</v>
      </c>
      <c r="I293" s="429">
        <f t="shared" si="16"/>
        <v>0</v>
      </c>
      <c r="J293" s="429">
        <f>SUM($H$18:$H293)</f>
        <v>6020621.5245244987</v>
      </c>
    </row>
    <row r="294" spans="1:10" ht="15" customHeight="1" x14ac:dyDescent="0.15">
      <c r="A294" s="427">
        <v>277</v>
      </c>
      <c r="B294" s="428">
        <f t="shared" si="11"/>
        <v>50802</v>
      </c>
      <c r="C294" s="429">
        <f t="shared" si="18"/>
        <v>0</v>
      </c>
      <c r="D294" s="429">
        <f t="shared" si="12"/>
        <v>63364.835008488124</v>
      </c>
      <c r="E294" s="430">
        <f t="shared" si="13"/>
        <v>0</v>
      </c>
      <c r="F294" s="429">
        <f t="shared" si="14"/>
        <v>0</v>
      </c>
      <c r="G294" s="429">
        <f t="shared" si="15"/>
        <v>0</v>
      </c>
      <c r="H294" s="429">
        <f t="shared" si="17"/>
        <v>0</v>
      </c>
      <c r="I294" s="429">
        <f t="shared" si="16"/>
        <v>0</v>
      </c>
      <c r="J294" s="429">
        <f>SUM($H$18:$H294)</f>
        <v>6020621.5245244987</v>
      </c>
    </row>
    <row r="295" spans="1:10" ht="15" customHeight="1" x14ac:dyDescent="0.15">
      <c r="A295" s="427">
        <v>278</v>
      </c>
      <c r="B295" s="428">
        <f t="shared" si="11"/>
        <v>50830</v>
      </c>
      <c r="C295" s="429">
        <f t="shared" si="18"/>
        <v>0</v>
      </c>
      <c r="D295" s="429">
        <f t="shared" si="12"/>
        <v>63364.835008488124</v>
      </c>
      <c r="E295" s="430">
        <f t="shared" si="13"/>
        <v>0</v>
      </c>
      <c r="F295" s="429">
        <f t="shared" si="14"/>
        <v>0</v>
      </c>
      <c r="G295" s="429">
        <f t="shared" si="15"/>
        <v>0</v>
      </c>
      <c r="H295" s="429">
        <f t="shared" si="17"/>
        <v>0</v>
      </c>
      <c r="I295" s="429">
        <f t="shared" si="16"/>
        <v>0</v>
      </c>
      <c r="J295" s="429">
        <f>SUM($H$18:$H295)</f>
        <v>6020621.5245244987</v>
      </c>
    </row>
    <row r="296" spans="1:10" ht="15" customHeight="1" x14ac:dyDescent="0.15">
      <c r="A296" s="427">
        <v>279</v>
      </c>
      <c r="B296" s="428">
        <f t="shared" si="11"/>
        <v>50861</v>
      </c>
      <c r="C296" s="429">
        <f t="shared" si="18"/>
        <v>0</v>
      </c>
      <c r="D296" s="429">
        <f t="shared" si="12"/>
        <v>63364.835008488124</v>
      </c>
      <c r="E296" s="430">
        <f t="shared" si="13"/>
        <v>0</v>
      </c>
      <c r="F296" s="429">
        <f t="shared" si="14"/>
        <v>0</v>
      </c>
      <c r="G296" s="429">
        <f t="shared" si="15"/>
        <v>0</v>
      </c>
      <c r="H296" s="429">
        <f t="shared" si="17"/>
        <v>0</v>
      </c>
      <c r="I296" s="429">
        <f t="shared" si="16"/>
        <v>0</v>
      </c>
      <c r="J296" s="429">
        <f>SUM($H$18:$H296)</f>
        <v>6020621.5245244987</v>
      </c>
    </row>
    <row r="297" spans="1:10" ht="15" customHeight="1" x14ac:dyDescent="0.15">
      <c r="A297" s="427">
        <v>280</v>
      </c>
      <c r="B297" s="428">
        <f t="shared" si="11"/>
        <v>50891</v>
      </c>
      <c r="C297" s="429">
        <f t="shared" si="18"/>
        <v>0</v>
      </c>
      <c r="D297" s="429">
        <f t="shared" si="12"/>
        <v>63364.835008488124</v>
      </c>
      <c r="E297" s="430">
        <f t="shared" si="13"/>
        <v>0</v>
      </c>
      <c r="F297" s="429">
        <f t="shared" si="14"/>
        <v>0</v>
      </c>
      <c r="G297" s="429">
        <f t="shared" si="15"/>
        <v>0</v>
      </c>
      <c r="H297" s="429">
        <f t="shared" si="17"/>
        <v>0</v>
      </c>
      <c r="I297" s="429">
        <f t="shared" si="16"/>
        <v>0</v>
      </c>
      <c r="J297" s="429">
        <f>SUM($H$18:$H297)</f>
        <v>6020621.5245244987</v>
      </c>
    </row>
    <row r="298" spans="1:10" ht="15" customHeight="1" x14ac:dyDescent="0.15">
      <c r="A298" s="427">
        <v>281</v>
      </c>
      <c r="B298" s="428">
        <f t="shared" si="11"/>
        <v>50922</v>
      </c>
      <c r="C298" s="429">
        <f t="shared" si="18"/>
        <v>0</v>
      </c>
      <c r="D298" s="429">
        <f t="shared" si="12"/>
        <v>63364.835008488124</v>
      </c>
      <c r="E298" s="430">
        <f t="shared" si="13"/>
        <v>0</v>
      </c>
      <c r="F298" s="429">
        <f t="shared" si="14"/>
        <v>0</v>
      </c>
      <c r="G298" s="429">
        <f t="shared" si="15"/>
        <v>0</v>
      </c>
      <c r="H298" s="429">
        <f t="shared" si="17"/>
        <v>0</v>
      </c>
      <c r="I298" s="429">
        <f t="shared" si="16"/>
        <v>0</v>
      </c>
      <c r="J298" s="429">
        <f>SUM($H$18:$H298)</f>
        <v>6020621.5245244987</v>
      </c>
    </row>
    <row r="299" spans="1:10" ht="15" customHeight="1" x14ac:dyDescent="0.15">
      <c r="A299" s="427">
        <v>282</v>
      </c>
      <c r="B299" s="428">
        <f t="shared" si="11"/>
        <v>50952</v>
      </c>
      <c r="C299" s="429">
        <f t="shared" si="18"/>
        <v>0</v>
      </c>
      <c r="D299" s="429">
        <f t="shared" si="12"/>
        <v>63364.835008488124</v>
      </c>
      <c r="E299" s="430">
        <f t="shared" si="13"/>
        <v>0</v>
      </c>
      <c r="F299" s="429">
        <f t="shared" si="14"/>
        <v>0</v>
      </c>
      <c r="G299" s="429">
        <f t="shared" si="15"/>
        <v>0</v>
      </c>
      <c r="H299" s="429">
        <f t="shared" si="17"/>
        <v>0</v>
      </c>
      <c r="I299" s="429">
        <f t="shared" si="16"/>
        <v>0</v>
      </c>
      <c r="J299" s="429">
        <f>SUM($H$18:$H299)</f>
        <v>6020621.5245244987</v>
      </c>
    </row>
    <row r="300" spans="1:10" ht="15" customHeight="1" x14ac:dyDescent="0.15">
      <c r="A300" s="427">
        <v>283</v>
      </c>
      <c r="B300" s="428">
        <f t="shared" si="11"/>
        <v>50983</v>
      </c>
      <c r="C300" s="429">
        <f t="shared" si="18"/>
        <v>0</v>
      </c>
      <c r="D300" s="429">
        <f t="shared" si="12"/>
        <v>63364.835008488124</v>
      </c>
      <c r="E300" s="430">
        <f t="shared" si="13"/>
        <v>0</v>
      </c>
      <c r="F300" s="429">
        <f t="shared" si="14"/>
        <v>0</v>
      </c>
      <c r="G300" s="429">
        <f t="shared" si="15"/>
        <v>0</v>
      </c>
      <c r="H300" s="429">
        <f t="shared" si="17"/>
        <v>0</v>
      </c>
      <c r="I300" s="429">
        <f t="shared" si="16"/>
        <v>0</v>
      </c>
      <c r="J300" s="429">
        <f>SUM($H$18:$H300)</f>
        <v>6020621.5245244987</v>
      </c>
    </row>
    <row r="301" spans="1:10" ht="15" customHeight="1" x14ac:dyDescent="0.15">
      <c r="A301" s="427">
        <v>284</v>
      </c>
      <c r="B301" s="428">
        <f t="shared" si="11"/>
        <v>51014</v>
      </c>
      <c r="C301" s="429">
        <f t="shared" si="18"/>
        <v>0</v>
      </c>
      <c r="D301" s="429">
        <f t="shared" si="12"/>
        <v>63364.835008488124</v>
      </c>
      <c r="E301" s="430">
        <f t="shared" si="13"/>
        <v>0</v>
      </c>
      <c r="F301" s="429">
        <f t="shared" si="14"/>
        <v>0</v>
      </c>
      <c r="G301" s="429">
        <f t="shared" si="15"/>
        <v>0</v>
      </c>
      <c r="H301" s="429">
        <f t="shared" si="17"/>
        <v>0</v>
      </c>
      <c r="I301" s="429">
        <f t="shared" si="16"/>
        <v>0</v>
      </c>
      <c r="J301" s="429">
        <f>SUM($H$18:$H301)</f>
        <v>6020621.5245244987</v>
      </c>
    </row>
    <row r="302" spans="1:10" ht="15" customHeight="1" x14ac:dyDescent="0.15">
      <c r="A302" s="427">
        <v>285</v>
      </c>
      <c r="B302" s="428">
        <f t="shared" si="11"/>
        <v>51044</v>
      </c>
      <c r="C302" s="429">
        <f t="shared" si="18"/>
        <v>0</v>
      </c>
      <c r="D302" s="429">
        <f t="shared" si="12"/>
        <v>63364.835008488124</v>
      </c>
      <c r="E302" s="430">
        <f t="shared" si="13"/>
        <v>0</v>
      </c>
      <c r="F302" s="429">
        <f t="shared" si="14"/>
        <v>0</v>
      </c>
      <c r="G302" s="429">
        <f t="shared" si="15"/>
        <v>0</v>
      </c>
      <c r="H302" s="429">
        <f t="shared" si="17"/>
        <v>0</v>
      </c>
      <c r="I302" s="429">
        <f t="shared" si="16"/>
        <v>0</v>
      </c>
      <c r="J302" s="429">
        <f>SUM($H$18:$H302)</f>
        <v>6020621.5245244987</v>
      </c>
    </row>
    <row r="303" spans="1:10" ht="15" customHeight="1" x14ac:dyDescent="0.15">
      <c r="A303" s="427">
        <v>286</v>
      </c>
      <c r="B303" s="428">
        <f t="shared" si="11"/>
        <v>51075</v>
      </c>
      <c r="C303" s="429">
        <f t="shared" si="18"/>
        <v>0</v>
      </c>
      <c r="D303" s="429">
        <f t="shared" si="12"/>
        <v>63364.835008488124</v>
      </c>
      <c r="E303" s="430">
        <f t="shared" si="13"/>
        <v>0</v>
      </c>
      <c r="F303" s="429">
        <f t="shared" si="14"/>
        <v>0</v>
      </c>
      <c r="G303" s="429">
        <f t="shared" si="15"/>
        <v>0</v>
      </c>
      <c r="H303" s="429">
        <f t="shared" si="17"/>
        <v>0</v>
      </c>
      <c r="I303" s="429">
        <f t="shared" si="16"/>
        <v>0</v>
      </c>
      <c r="J303" s="429">
        <f>SUM($H$18:$H303)</f>
        <v>6020621.5245244987</v>
      </c>
    </row>
    <row r="304" spans="1:10" ht="15" customHeight="1" x14ac:dyDescent="0.15">
      <c r="A304" s="427">
        <v>287</v>
      </c>
      <c r="B304" s="428">
        <f t="shared" si="11"/>
        <v>51105</v>
      </c>
      <c r="C304" s="429">
        <f t="shared" si="18"/>
        <v>0</v>
      </c>
      <c r="D304" s="429">
        <f t="shared" si="12"/>
        <v>63364.835008488124</v>
      </c>
      <c r="E304" s="430">
        <f t="shared" si="13"/>
        <v>0</v>
      </c>
      <c r="F304" s="429">
        <f t="shared" si="14"/>
        <v>0</v>
      </c>
      <c r="G304" s="429">
        <f t="shared" si="15"/>
        <v>0</v>
      </c>
      <c r="H304" s="429">
        <f t="shared" si="17"/>
        <v>0</v>
      </c>
      <c r="I304" s="429">
        <f t="shared" si="16"/>
        <v>0</v>
      </c>
      <c r="J304" s="429">
        <f>SUM($H$18:$H304)</f>
        <v>6020621.5245244987</v>
      </c>
    </row>
    <row r="305" spans="1:10" ht="15" customHeight="1" x14ac:dyDescent="0.15">
      <c r="A305" s="427">
        <v>288</v>
      </c>
      <c r="B305" s="428">
        <f t="shared" si="11"/>
        <v>51136</v>
      </c>
      <c r="C305" s="429">
        <f t="shared" si="18"/>
        <v>0</v>
      </c>
      <c r="D305" s="429">
        <f t="shared" si="12"/>
        <v>63364.835008488124</v>
      </c>
      <c r="E305" s="430">
        <f t="shared" si="13"/>
        <v>0</v>
      </c>
      <c r="F305" s="429">
        <f t="shared" si="14"/>
        <v>0</v>
      </c>
      <c r="G305" s="429">
        <f t="shared" si="15"/>
        <v>0</v>
      </c>
      <c r="H305" s="429">
        <f t="shared" si="17"/>
        <v>0</v>
      </c>
      <c r="I305" s="429">
        <f t="shared" si="16"/>
        <v>0</v>
      </c>
      <c r="J305" s="429">
        <f>SUM($H$18:$H305)</f>
        <v>6020621.5245244987</v>
      </c>
    </row>
    <row r="306" spans="1:10" ht="15" customHeight="1" x14ac:dyDescent="0.15">
      <c r="A306" s="427">
        <v>289</v>
      </c>
      <c r="B306" s="428">
        <f t="shared" si="11"/>
        <v>51167</v>
      </c>
      <c r="C306" s="429">
        <f t="shared" si="18"/>
        <v>0</v>
      </c>
      <c r="D306" s="429">
        <f t="shared" si="12"/>
        <v>63364.835008488124</v>
      </c>
      <c r="E306" s="430">
        <f t="shared" si="13"/>
        <v>0</v>
      </c>
      <c r="F306" s="429">
        <f t="shared" si="14"/>
        <v>0</v>
      </c>
      <c r="G306" s="429">
        <f t="shared" si="15"/>
        <v>0</v>
      </c>
      <c r="H306" s="429">
        <f t="shared" si="17"/>
        <v>0</v>
      </c>
      <c r="I306" s="429">
        <f t="shared" si="16"/>
        <v>0</v>
      </c>
      <c r="J306" s="429">
        <f>SUM($H$18:$H306)</f>
        <v>6020621.5245244987</v>
      </c>
    </row>
    <row r="307" spans="1:10" ht="15" customHeight="1" x14ac:dyDescent="0.15">
      <c r="A307" s="427">
        <v>290</v>
      </c>
      <c r="B307" s="428">
        <f t="shared" si="11"/>
        <v>51196</v>
      </c>
      <c r="C307" s="429">
        <f t="shared" si="18"/>
        <v>0</v>
      </c>
      <c r="D307" s="429">
        <f t="shared" si="12"/>
        <v>63364.835008488124</v>
      </c>
      <c r="E307" s="430">
        <f t="shared" si="13"/>
        <v>0</v>
      </c>
      <c r="F307" s="429">
        <f t="shared" si="14"/>
        <v>0</v>
      </c>
      <c r="G307" s="429">
        <f t="shared" si="15"/>
        <v>0</v>
      </c>
      <c r="H307" s="429">
        <f t="shared" si="17"/>
        <v>0</v>
      </c>
      <c r="I307" s="429">
        <f t="shared" si="16"/>
        <v>0</v>
      </c>
      <c r="J307" s="429">
        <f>SUM($H$18:$H307)</f>
        <v>6020621.5245244987</v>
      </c>
    </row>
    <row r="308" spans="1:10" ht="15" customHeight="1" x14ac:dyDescent="0.15">
      <c r="A308" s="427">
        <v>291</v>
      </c>
      <c r="B308" s="428">
        <f t="shared" si="11"/>
        <v>51227</v>
      </c>
      <c r="C308" s="429">
        <f t="shared" si="18"/>
        <v>0</v>
      </c>
      <c r="D308" s="429">
        <f t="shared" si="12"/>
        <v>63364.835008488124</v>
      </c>
      <c r="E308" s="430">
        <f t="shared" si="13"/>
        <v>0</v>
      </c>
      <c r="F308" s="429">
        <f t="shared" si="14"/>
        <v>0</v>
      </c>
      <c r="G308" s="429">
        <f t="shared" si="15"/>
        <v>0</v>
      </c>
      <c r="H308" s="429">
        <f t="shared" si="17"/>
        <v>0</v>
      </c>
      <c r="I308" s="429">
        <f t="shared" si="16"/>
        <v>0</v>
      </c>
      <c r="J308" s="429">
        <f>SUM($H$18:$H308)</f>
        <v>6020621.5245244987</v>
      </c>
    </row>
    <row r="309" spans="1:10" ht="15" customHeight="1" x14ac:dyDescent="0.15">
      <c r="A309" s="427">
        <v>292</v>
      </c>
      <c r="B309" s="428">
        <f t="shared" si="11"/>
        <v>51257</v>
      </c>
      <c r="C309" s="429">
        <f t="shared" si="18"/>
        <v>0</v>
      </c>
      <c r="D309" s="429">
        <f t="shared" si="12"/>
        <v>63364.835008488124</v>
      </c>
      <c r="E309" s="430">
        <f t="shared" si="13"/>
        <v>0</v>
      </c>
      <c r="F309" s="429">
        <f t="shared" si="14"/>
        <v>0</v>
      </c>
      <c r="G309" s="429">
        <f t="shared" si="15"/>
        <v>0</v>
      </c>
      <c r="H309" s="429">
        <f t="shared" si="17"/>
        <v>0</v>
      </c>
      <c r="I309" s="429">
        <f t="shared" si="16"/>
        <v>0</v>
      </c>
      <c r="J309" s="429">
        <f>SUM($H$18:$H309)</f>
        <v>6020621.5245244987</v>
      </c>
    </row>
    <row r="310" spans="1:10" ht="15" customHeight="1" x14ac:dyDescent="0.15">
      <c r="A310" s="427">
        <v>293</v>
      </c>
      <c r="B310" s="428">
        <f t="shared" si="11"/>
        <v>51288</v>
      </c>
      <c r="C310" s="429">
        <f t="shared" si="18"/>
        <v>0</v>
      </c>
      <c r="D310" s="429">
        <f t="shared" si="12"/>
        <v>63364.835008488124</v>
      </c>
      <c r="E310" s="430">
        <f t="shared" si="13"/>
        <v>0</v>
      </c>
      <c r="F310" s="429">
        <f t="shared" si="14"/>
        <v>0</v>
      </c>
      <c r="G310" s="429">
        <f t="shared" si="15"/>
        <v>0</v>
      </c>
      <c r="H310" s="429">
        <f t="shared" si="17"/>
        <v>0</v>
      </c>
      <c r="I310" s="429">
        <f t="shared" si="16"/>
        <v>0</v>
      </c>
      <c r="J310" s="429">
        <f>SUM($H$18:$H310)</f>
        <v>6020621.5245244987</v>
      </c>
    </row>
    <row r="311" spans="1:10" ht="15" customHeight="1" x14ac:dyDescent="0.15">
      <c r="A311" s="427">
        <v>294</v>
      </c>
      <c r="B311" s="428">
        <f t="shared" si="11"/>
        <v>51318</v>
      </c>
      <c r="C311" s="429">
        <f t="shared" si="18"/>
        <v>0</v>
      </c>
      <c r="D311" s="429">
        <f t="shared" si="12"/>
        <v>63364.835008488124</v>
      </c>
      <c r="E311" s="430">
        <f t="shared" si="13"/>
        <v>0</v>
      </c>
      <c r="F311" s="429">
        <f t="shared" si="14"/>
        <v>0</v>
      </c>
      <c r="G311" s="429">
        <f t="shared" si="15"/>
        <v>0</v>
      </c>
      <c r="H311" s="429">
        <f t="shared" si="17"/>
        <v>0</v>
      </c>
      <c r="I311" s="429">
        <f t="shared" si="16"/>
        <v>0</v>
      </c>
      <c r="J311" s="429">
        <f>SUM($H$18:$H311)</f>
        <v>6020621.5245244987</v>
      </c>
    </row>
    <row r="312" spans="1:10" ht="15" customHeight="1" x14ac:dyDescent="0.15">
      <c r="A312" s="427">
        <v>295</v>
      </c>
      <c r="B312" s="428">
        <f t="shared" si="11"/>
        <v>51349</v>
      </c>
      <c r="C312" s="429">
        <f t="shared" si="18"/>
        <v>0</v>
      </c>
      <c r="D312" s="429">
        <f t="shared" si="12"/>
        <v>63364.835008488124</v>
      </c>
      <c r="E312" s="430">
        <f t="shared" si="13"/>
        <v>0</v>
      </c>
      <c r="F312" s="429">
        <f t="shared" si="14"/>
        <v>0</v>
      </c>
      <c r="G312" s="429">
        <f t="shared" si="15"/>
        <v>0</v>
      </c>
      <c r="H312" s="429">
        <f t="shared" si="17"/>
        <v>0</v>
      </c>
      <c r="I312" s="429">
        <f t="shared" si="16"/>
        <v>0</v>
      </c>
      <c r="J312" s="429">
        <f>SUM($H$18:$H312)</f>
        <v>6020621.5245244987</v>
      </c>
    </row>
    <row r="313" spans="1:10" ht="15" customHeight="1" x14ac:dyDescent="0.15">
      <c r="A313" s="427">
        <v>296</v>
      </c>
      <c r="B313" s="428">
        <f t="shared" si="11"/>
        <v>51380</v>
      </c>
      <c r="C313" s="429">
        <f t="shared" si="18"/>
        <v>0</v>
      </c>
      <c r="D313" s="429">
        <f t="shared" si="12"/>
        <v>63364.835008488124</v>
      </c>
      <c r="E313" s="430">
        <f t="shared" si="13"/>
        <v>0</v>
      </c>
      <c r="F313" s="429">
        <f t="shared" si="14"/>
        <v>0</v>
      </c>
      <c r="G313" s="429">
        <f t="shared" si="15"/>
        <v>0</v>
      </c>
      <c r="H313" s="429">
        <f t="shared" si="17"/>
        <v>0</v>
      </c>
      <c r="I313" s="429">
        <f t="shared" si="16"/>
        <v>0</v>
      </c>
      <c r="J313" s="429">
        <f>SUM($H$18:$H313)</f>
        <v>6020621.5245244987</v>
      </c>
    </row>
    <row r="314" spans="1:10" ht="15" customHeight="1" x14ac:dyDescent="0.15">
      <c r="A314" s="427">
        <v>297</v>
      </c>
      <c r="B314" s="428">
        <f t="shared" si="11"/>
        <v>51410</v>
      </c>
      <c r="C314" s="429">
        <f t="shared" si="18"/>
        <v>0</v>
      </c>
      <c r="D314" s="429">
        <f t="shared" si="12"/>
        <v>63364.835008488124</v>
      </c>
      <c r="E314" s="430">
        <f t="shared" si="13"/>
        <v>0</v>
      </c>
      <c r="F314" s="429">
        <f t="shared" si="14"/>
        <v>0</v>
      </c>
      <c r="G314" s="429">
        <f t="shared" si="15"/>
        <v>0</v>
      </c>
      <c r="H314" s="429">
        <f t="shared" si="17"/>
        <v>0</v>
      </c>
      <c r="I314" s="429">
        <f t="shared" si="16"/>
        <v>0</v>
      </c>
      <c r="J314" s="429">
        <f>SUM($H$18:$H314)</f>
        <v>6020621.5245244987</v>
      </c>
    </row>
    <row r="315" spans="1:10" ht="15" customHeight="1" x14ac:dyDescent="0.15">
      <c r="A315" s="427">
        <v>298</v>
      </c>
      <c r="B315" s="428">
        <f t="shared" si="11"/>
        <v>51441</v>
      </c>
      <c r="C315" s="429">
        <f t="shared" si="18"/>
        <v>0</v>
      </c>
      <c r="D315" s="429">
        <f t="shared" si="12"/>
        <v>63364.835008488124</v>
      </c>
      <c r="E315" s="430">
        <f t="shared" si="13"/>
        <v>0</v>
      </c>
      <c r="F315" s="429">
        <f t="shared" si="14"/>
        <v>0</v>
      </c>
      <c r="G315" s="429">
        <f t="shared" si="15"/>
        <v>0</v>
      </c>
      <c r="H315" s="429">
        <f t="shared" si="17"/>
        <v>0</v>
      </c>
      <c r="I315" s="429">
        <f t="shared" si="16"/>
        <v>0</v>
      </c>
      <c r="J315" s="429">
        <f>SUM($H$18:$H315)</f>
        <v>6020621.5245244987</v>
      </c>
    </row>
    <row r="316" spans="1:10" ht="15" customHeight="1" x14ac:dyDescent="0.15">
      <c r="A316" s="427">
        <v>299</v>
      </c>
      <c r="B316" s="428">
        <f t="shared" si="11"/>
        <v>51471</v>
      </c>
      <c r="C316" s="429">
        <f t="shared" si="18"/>
        <v>0</v>
      </c>
      <c r="D316" s="429">
        <f t="shared" si="12"/>
        <v>63364.835008488124</v>
      </c>
      <c r="E316" s="430">
        <f t="shared" si="13"/>
        <v>0</v>
      </c>
      <c r="F316" s="429">
        <f t="shared" si="14"/>
        <v>0</v>
      </c>
      <c r="G316" s="429">
        <f t="shared" si="15"/>
        <v>0</v>
      </c>
      <c r="H316" s="429">
        <f t="shared" si="17"/>
        <v>0</v>
      </c>
      <c r="I316" s="429">
        <f t="shared" si="16"/>
        <v>0</v>
      </c>
      <c r="J316" s="429">
        <f>SUM($H$18:$H316)</f>
        <v>6020621.5245244987</v>
      </c>
    </row>
    <row r="317" spans="1:10" ht="15" customHeight="1" x14ac:dyDescent="0.15">
      <c r="A317" s="427">
        <v>300</v>
      </c>
      <c r="B317" s="428">
        <f t="shared" si="11"/>
        <v>51502</v>
      </c>
      <c r="C317" s="429">
        <f t="shared" si="18"/>
        <v>0</v>
      </c>
      <c r="D317" s="429">
        <f t="shared" si="12"/>
        <v>63364.835008488124</v>
      </c>
      <c r="E317" s="430">
        <f t="shared" si="13"/>
        <v>0</v>
      </c>
      <c r="F317" s="429">
        <f t="shared" si="14"/>
        <v>0</v>
      </c>
      <c r="G317" s="429">
        <f t="shared" si="15"/>
        <v>0</v>
      </c>
      <c r="H317" s="429">
        <f t="shared" si="17"/>
        <v>0</v>
      </c>
      <c r="I317" s="429">
        <f t="shared" si="16"/>
        <v>0</v>
      </c>
      <c r="J317" s="429">
        <f>SUM($H$18:$H317)</f>
        <v>6020621.5245244987</v>
      </c>
    </row>
    <row r="318" spans="1:10" ht="15" customHeight="1" x14ac:dyDescent="0.15">
      <c r="A318" s="427">
        <v>301</v>
      </c>
      <c r="B318" s="428">
        <f t="shared" si="11"/>
        <v>51533</v>
      </c>
      <c r="C318" s="429">
        <f t="shared" si="18"/>
        <v>0</v>
      </c>
      <c r="D318" s="429">
        <f t="shared" si="12"/>
        <v>63364.835008488124</v>
      </c>
      <c r="E318" s="430">
        <f t="shared" si="13"/>
        <v>0</v>
      </c>
      <c r="F318" s="429">
        <f t="shared" si="14"/>
        <v>0</v>
      </c>
      <c r="G318" s="429">
        <f t="shared" si="15"/>
        <v>0</v>
      </c>
      <c r="H318" s="429">
        <f t="shared" si="17"/>
        <v>0</v>
      </c>
      <c r="I318" s="429">
        <f t="shared" si="16"/>
        <v>0</v>
      </c>
      <c r="J318" s="429">
        <f>SUM($H$18:$H318)</f>
        <v>6020621.5245244987</v>
      </c>
    </row>
    <row r="319" spans="1:10" ht="15" customHeight="1" x14ac:dyDescent="0.15">
      <c r="A319" s="427">
        <v>302</v>
      </c>
      <c r="B319" s="428">
        <f t="shared" si="11"/>
        <v>51561</v>
      </c>
      <c r="C319" s="429">
        <f t="shared" si="18"/>
        <v>0</v>
      </c>
      <c r="D319" s="429">
        <f t="shared" si="12"/>
        <v>63364.835008488124</v>
      </c>
      <c r="E319" s="430">
        <f t="shared" si="13"/>
        <v>0</v>
      </c>
      <c r="F319" s="429">
        <f t="shared" si="14"/>
        <v>0</v>
      </c>
      <c r="G319" s="429">
        <f t="shared" si="15"/>
        <v>0</v>
      </c>
      <c r="H319" s="429">
        <f t="shared" si="17"/>
        <v>0</v>
      </c>
      <c r="I319" s="429">
        <f t="shared" si="16"/>
        <v>0</v>
      </c>
      <c r="J319" s="429">
        <f>SUM($H$18:$H319)</f>
        <v>6020621.5245244987</v>
      </c>
    </row>
    <row r="320" spans="1:10" ht="15" customHeight="1" x14ac:dyDescent="0.15">
      <c r="A320" s="427">
        <v>303</v>
      </c>
      <c r="B320" s="428">
        <f t="shared" si="11"/>
        <v>51592</v>
      </c>
      <c r="C320" s="429">
        <f t="shared" si="18"/>
        <v>0</v>
      </c>
      <c r="D320" s="429">
        <f t="shared" si="12"/>
        <v>63364.835008488124</v>
      </c>
      <c r="E320" s="430">
        <f t="shared" si="13"/>
        <v>0</v>
      </c>
      <c r="F320" s="429">
        <f t="shared" si="14"/>
        <v>0</v>
      </c>
      <c r="G320" s="429">
        <f t="shared" si="15"/>
        <v>0</v>
      </c>
      <c r="H320" s="429">
        <f t="shared" si="17"/>
        <v>0</v>
      </c>
      <c r="I320" s="429">
        <f t="shared" si="16"/>
        <v>0</v>
      </c>
      <c r="J320" s="429">
        <f>SUM($H$18:$H320)</f>
        <v>6020621.5245244987</v>
      </c>
    </row>
    <row r="321" spans="1:10" ht="15" customHeight="1" x14ac:dyDescent="0.15">
      <c r="A321" s="427">
        <v>304</v>
      </c>
      <c r="B321" s="428">
        <f t="shared" si="11"/>
        <v>51622</v>
      </c>
      <c r="C321" s="429">
        <f t="shared" si="18"/>
        <v>0</v>
      </c>
      <c r="D321" s="429">
        <f t="shared" si="12"/>
        <v>63364.835008488124</v>
      </c>
      <c r="E321" s="430">
        <f t="shared" si="13"/>
        <v>0</v>
      </c>
      <c r="F321" s="429">
        <f t="shared" si="14"/>
        <v>0</v>
      </c>
      <c r="G321" s="429">
        <f t="shared" si="15"/>
        <v>0</v>
      </c>
      <c r="H321" s="429">
        <f t="shared" si="17"/>
        <v>0</v>
      </c>
      <c r="I321" s="429">
        <f t="shared" si="16"/>
        <v>0</v>
      </c>
      <c r="J321" s="429">
        <f>SUM($H$18:$H321)</f>
        <v>6020621.5245244987</v>
      </c>
    </row>
    <row r="322" spans="1:10" ht="15" customHeight="1" x14ac:dyDescent="0.15">
      <c r="A322" s="427">
        <v>305</v>
      </c>
      <c r="B322" s="428">
        <f t="shared" si="11"/>
        <v>51653</v>
      </c>
      <c r="C322" s="429">
        <f t="shared" si="18"/>
        <v>0</v>
      </c>
      <c r="D322" s="429">
        <f t="shared" si="12"/>
        <v>63364.835008488124</v>
      </c>
      <c r="E322" s="430">
        <f t="shared" si="13"/>
        <v>0</v>
      </c>
      <c r="F322" s="429">
        <f t="shared" si="14"/>
        <v>0</v>
      </c>
      <c r="G322" s="429">
        <f t="shared" si="15"/>
        <v>0</v>
      </c>
      <c r="H322" s="429">
        <f t="shared" si="17"/>
        <v>0</v>
      </c>
      <c r="I322" s="429">
        <f t="shared" si="16"/>
        <v>0</v>
      </c>
      <c r="J322" s="429">
        <f>SUM($H$18:$H322)</f>
        <v>6020621.5245244987</v>
      </c>
    </row>
    <row r="323" spans="1:10" ht="15" customHeight="1" x14ac:dyDescent="0.15">
      <c r="A323" s="427">
        <v>306</v>
      </c>
      <c r="B323" s="428">
        <f t="shared" si="11"/>
        <v>51683</v>
      </c>
      <c r="C323" s="429">
        <f t="shared" si="18"/>
        <v>0</v>
      </c>
      <c r="D323" s="429">
        <f t="shared" si="12"/>
        <v>63364.835008488124</v>
      </c>
      <c r="E323" s="430">
        <f t="shared" si="13"/>
        <v>0</v>
      </c>
      <c r="F323" s="429">
        <f t="shared" si="14"/>
        <v>0</v>
      </c>
      <c r="G323" s="429">
        <f t="shared" si="15"/>
        <v>0</v>
      </c>
      <c r="H323" s="429">
        <f t="shared" si="17"/>
        <v>0</v>
      </c>
      <c r="I323" s="429">
        <f t="shared" si="16"/>
        <v>0</v>
      </c>
      <c r="J323" s="429">
        <f>SUM($H$18:$H323)</f>
        <v>6020621.5245244987</v>
      </c>
    </row>
    <row r="324" spans="1:10" ht="15" customHeight="1" x14ac:dyDescent="0.15">
      <c r="A324" s="427">
        <v>307</v>
      </c>
      <c r="B324" s="428">
        <f t="shared" si="11"/>
        <v>51714</v>
      </c>
      <c r="C324" s="429">
        <f t="shared" si="18"/>
        <v>0</v>
      </c>
      <c r="D324" s="429">
        <f t="shared" si="12"/>
        <v>63364.835008488124</v>
      </c>
      <c r="E324" s="430">
        <f t="shared" si="13"/>
        <v>0</v>
      </c>
      <c r="F324" s="429">
        <f t="shared" si="14"/>
        <v>0</v>
      </c>
      <c r="G324" s="429">
        <f t="shared" si="15"/>
        <v>0</v>
      </c>
      <c r="H324" s="429">
        <f t="shared" si="17"/>
        <v>0</v>
      </c>
      <c r="I324" s="429">
        <f t="shared" si="16"/>
        <v>0</v>
      </c>
      <c r="J324" s="429">
        <f>SUM($H$18:$H324)</f>
        <v>6020621.5245244987</v>
      </c>
    </row>
    <row r="325" spans="1:10" ht="15" customHeight="1" x14ac:dyDescent="0.15">
      <c r="A325" s="427">
        <v>308</v>
      </c>
      <c r="B325" s="428">
        <f t="shared" si="11"/>
        <v>51745</v>
      </c>
      <c r="C325" s="429">
        <f t="shared" si="18"/>
        <v>0</v>
      </c>
      <c r="D325" s="429">
        <f t="shared" si="12"/>
        <v>63364.835008488124</v>
      </c>
      <c r="E325" s="430">
        <f t="shared" si="13"/>
        <v>0</v>
      </c>
      <c r="F325" s="429">
        <f t="shared" si="14"/>
        <v>0</v>
      </c>
      <c r="G325" s="429">
        <f t="shared" si="15"/>
        <v>0</v>
      </c>
      <c r="H325" s="429">
        <f t="shared" si="17"/>
        <v>0</v>
      </c>
      <c r="I325" s="429">
        <f t="shared" si="16"/>
        <v>0</v>
      </c>
      <c r="J325" s="429">
        <f>SUM($H$18:$H325)</f>
        <v>6020621.5245244987</v>
      </c>
    </row>
    <row r="326" spans="1:10" ht="15" customHeight="1" x14ac:dyDescent="0.15">
      <c r="A326" s="427">
        <v>309</v>
      </c>
      <c r="B326" s="428">
        <f t="shared" si="11"/>
        <v>51775</v>
      </c>
      <c r="C326" s="429">
        <f t="shared" si="18"/>
        <v>0</v>
      </c>
      <c r="D326" s="429">
        <f t="shared" si="12"/>
        <v>63364.835008488124</v>
      </c>
      <c r="E326" s="430">
        <f t="shared" si="13"/>
        <v>0</v>
      </c>
      <c r="F326" s="429">
        <f t="shared" si="14"/>
        <v>0</v>
      </c>
      <c r="G326" s="429">
        <f t="shared" si="15"/>
        <v>0</v>
      </c>
      <c r="H326" s="429">
        <f t="shared" si="17"/>
        <v>0</v>
      </c>
      <c r="I326" s="429">
        <f t="shared" si="16"/>
        <v>0</v>
      </c>
      <c r="J326" s="429">
        <f>SUM($H$18:$H326)</f>
        <v>6020621.5245244987</v>
      </c>
    </row>
    <row r="327" spans="1:10" ht="15" customHeight="1" x14ac:dyDescent="0.15">
      <c r="A327" s="427">
        <v>310</v>
      </c>
      <c r="B327" s="428">
        <f t="shared" si="11"/>
        <v>51806</v>
      </c>
      <c r="C327" s="429">
        <f t="shared" si="18"/>
        <v>0</v>
      </c>
      <c r="D327" s="429">
        <f t="shared" si="12"/>
        <v>63364.835008488124</v>
      </c>
      <c r="E327" s="430">
        <f t="shared" si="13"/>
        <v>0</v>
      </c>
      <c r="F327" s="429">
        <f t="shared" si="14"/>
        <v>0</v>
      </c>
      <c r="G327" s="429">
        <f t="shared" si="15"/>
        <v>0</v>
      </c>
      <c r="H327" s="429">
        <f t="shared" si="17"/>
        <v>0</v>
      </c>
      <c r="I327" s="429">
        <f t="shared" si="16"/>
        <v>0</v>
      </c>
      <c r="J327" s="429">
        <f>SUM($H$18:$H327)</f>
        <v>6020621.5245244987</v>
      </c>
    </row>
    <row r="328" spans="1:10" ht="15" customHeight="1" x14ac:dyDescent="0.15">
      <c r="A328" s="427">
        <v>311</v>
      </c>
      <c r="B328" s="428">
        <f t="shared" si="11"/>
        <v>51836</v>
      </c>
      <c r="C328" s="429">
        <f t="shared" si="18"/>
        <v>0</v>
      </c>
      <c r="D328" s="429">
        <f t="shared" si="12"/>
        <v>63364.835008488124</v>
      </c>
      <c r="E328" s="430">
        <f t="shared" si="13"/>
        <v>0</v>
      </c>
      <c r="F328" s="429">
        <f t="shared" si="14"/>
        <v>0</v>
      </c>
      <c r="G328" s="429">
        <f t="shared" si="15"/>
        <v>0</v>
      </c>
      <c r="H328" s="429">
        <f t="shared" si="17"/>
        <v>0</v>
      </c>
      <c r="I328" s="429">
        <f t="shared" si="16"/>
        <v>0</v>
      </c>
      <c r="J328" s="429">
        <f>SUM($H$18:$H328)</f>
        <v>6020621.5245244987</v>
      </c>
    </row>
    <row r="329" spans="1:10" ht="15" customHeight="1" x14ac:dyDescent="0.15">
      <c r="A329" s="427">
        <v>312</v>
      </c>
      <c r="B329" s="428">
        <f t="shared" si="11"/>
        <v>51867</v>
      </c>
      <c r="C329" s="429">
        <f t="shared" si="18"/>
        <v>0</v>
      </c>
      <c r="D329" s="429">
        <f t="shared" si="12"/>
        <v>63364.835008488124</v>
      </c>
      <c r="E329" s="430">
        <f t="shared" si="13"/>
        <v>0</v>
      </c>
      <c r="F329" s="429">
        <f t="shared" si="14"/>
        <v>0</v>
      </c>
      <c r="G329" s="429">
        <f t="shared" si="15"/>
        <v>0</v>
      </c>
      <c r="H329" s="429">
        <f t="shared" si="17"/>
        <v>0</v>
      </c>
      <c r="I329" s="429">
        <f t="shared" si="16"/>
        <v>0</v>
      </c>
      <c r="J329" s="429">
        <f>SUM($H$18:$H329)</f>
        <v>6020621.5245244987</v>
      </c>
    </row>
    <row r="330" spans="1:10" ht="15" customHeight="1" x14ac:dyDescent="0.15">
      <c r="A330" s="427">
        <v>313</v>
      </c>
      <c r="B330" s="428">
        <f t="shared" si="11"/>
        <v>51898</v>
      </c>
      <c r="C330" s="429">
        <f t="shared" si="18"/>
        <v>0</v>
      </c>
      <c r="D330" s="429">
        <f t="shared" si="12"/>
        <v>63364.835008488124</v>
      </c>
      <c r="E330" s="430">
        <f t="shared" si="13"/>
        <v>0</v>
      </c>
      <c r="F330" s="429">
        <f t="shared" si="14"/>
        <v>0</v>
      </c>
      <c r="G330" s="429">
        <f t="shared" si="15"/>
        <v>0</v>
      </c>
      <c r="H330" s="429">
        <f t="shared" si="17"/>
        <v>0</v>
      </c>
      <c r="I330" s="429">
        <f t="shared" si="16"/>
        <v>0</v>
      </c>
      <c r="J330" s="429">
        <f>SUM($H$18:$H330)</f>
        <v>6020621.5245244987</v>
      </c>
    </row>
    <row r="331" spans="1:10" ht="15" customHeight="1" x14ac:dyDescent="0.15">
      <c r="A331" s="427">
        <v>314</v>
      </c>
      <c r="B331" s="428">
        <f t="shared" si="11"/>
        <v>51926</v>
      </c>
      <c r="C331" s="429">
        <f t="shared" si="18"/>
        <v>0</v>
      </c>
      <c r="D331" s="429">
        <f t="shared" si="12"/>
        <v>63364.835008488124</v>
      </c>
      <c r="E331" s="430">
        <f t="shared" si="13"/>
        <v>0</v>
      </c>
      <c r="F331" s="429">
        <f t="shared" si="14"/>
        <v>0</v>
      </c>
      <c r="G331" s="429">
        <f t="shared" si="15"/>
        <v>0</v>
      </c>
      <c r="H331" s="429">
        <f t="shared" si="17"/>
        <v>0</v>
      </c>
      <c r="I331" s="429">
        <f t="shared" si="16"/>
        <v>0</v>
      </c>
      <c r="J331" s="429">
        <f>SUM($H$18:$H331)</f>
        <v>6020621.5245244987</v>
      </c>
    </row>
    <row r="332" spans="1:10" ht="15" customHeight="1" x14ac:dyDescent="0.15">
      <c r="A332" s="427">
        <v>315</v>
      </c>
      <c r="B332" s="428">
        <f t="shared" si="11"/>
        <v>51957</v>
      </c>
      <c r="C332" s="429">
        <f t="shared" si="18"/>
        <v>0</v>
      </c>
      <c r="D332" s="429">
        <f t="shared" si="12"/>
        <v>63364.835008488124</v>
      </c>
      <c r="E332" s="430">
        <f t="shared" si="13"/>
        <v>0</v>
      </c>
      <c r="F332" s="429">
        <f t="shared" si="14"/>
        <v>0</v>
      </c>
      <c r="G332" s="429">
        <f t="shared" si="15"/>
        <v>0</v>
      </c>
      <c r="H332" s="429">
        <f t="shared" si="17"/>
        <v>0</v>
      </c>
      <c r="I332" s="429">
        <f t="shared" si="16"/>
        <v>0</v>
      </c>
      <c r="J332" s="429">
        <f>SUM($H$18:$H332)</f>
        <v>6020621.5245244987</v>
      </c>
    </row>
    <row r="333" spans="1:10" ht="15" customHeight="1" x14ac:dyDescent="0.15">
      <c r="A333" s="427">
        <v>316</v>
      </c>
      <c r="B333" s="428">
        <f t="shared" si="11"/>
        <v>51987</v>
      </c>
      <c r="C333" s="429">
        <f t="shared" si="18"/>
        <v>0</v>
      </c>
      <c r="D333" s="429">
        <f t="shared" si="12"/>
        <v>63364.835008488124</v>
      </c>
      <c r="E333" s="430">
        <f t="shared" si="13"/>
        <v>0</v>
      </c>
      <c r="F333" s="429">
        <f t="shared" si="14"/>
        <v>0</v>
      </c>
      <c r="G333" s="429">
        <f t="shared" si="15"/>
        <v>0</v>
      </c>
      <c r="H333" s="429">
        <f t="shared" si="17"/>
        <v>0</v>
      </c>
      <c r="I333" s="429">
        <f t="shared" si="16"/>
        <v>0</v>
      </c>
      <c r="J333" s="429">
        <f>SUM($H$18:$H333)</f>
        <v>6020621.5245244987</v>
      </c>
    </row>
    <row r="334" spans="1:10" ht="15" customHeight="1" x14ac:dyDescent="0.15">
      <c r="A334" s="427">
        <v>317</v>
      </c>
      <c r="B334" s="428">
        <f t="shared" si="11"/>
        <v>52018</v>
      </c>
      <c r="C334" s="429">
        <f t="shared" si="18"/>
        <v>0</v>
      </c>
      <c r="D334" s="429">
        <f t="shared" si="12"/>
        <v>63364.835008488124</v>
      </c>
      <c r="E334" s="430">
        <f t="shared" si="13"/>
        <v>0</v>
      </c>
      <c r="F334" s="429">
        <f t="shared" si="14"/>
        <v>0</v>
      </c>
      <c r="G334" s="429">
        <f t="shared" si="15"/>
        <v>0</v>
      </c>
      <c r="H334" s="429">
        <f t="shared" si="17"/>
        <v>0</v>
      </c>
      <c r="I334" s="429">
        <f t="shared" si="16"/>
        <v>0</v>
      </c>
      <c r="J334" s="429">
        <f>SUM($H$18:$H334)</f>
        <v>6020621.5245244987</v>
      </c>
    </row>
    <row r="335" spans="1:10" ht="15" customHeight="1" x14ac:dyDescent="0.15">
      <c r="A335" s="427">
        <v>318</v>
      </c>
      <c r="B335" s="428">
        <f t="shared" si="11"/>
        <v>52048</v>
      </c>
      <c r="C335" s="429">
        <f t="shared" si="18"/>
        <v>0</v>
      </c>
      <c r="D335" s="429">
        <f t="shared" si="12"/>
        <v>63364.835008488124</v>
      </c>
      <c r="E335" s="430">
        <f t="shared" si="13"/>
        <v>0</v>
      </c>
      <c r="F335" s="429">
        <f t="shared" si="14"/>
        <v>0</v>
      </c>
      <c r="G335" s="429">
        <f t="shared" si="15"/>
        <v>0</v>
      </c>
      <c r="H335" s="429">
        <f t="shared" si="17"/>
        <v>0</v>
      </c>
      <c r="I335" s="429">
        <f t="shared" si="16"/>
        <v>0</v>
      </c>
      <c r="J335" s="429">
        <f>SUM($H$18:$H335)</f>
        <v>6020621.5245244987</v>
      </c>
    </row>
    <row r="336" spans="1:10" ht="15" customHeight="1" x14ac:dyDescent="0.15">
      <c r="A336" s="427">
        <v>319</v>
      </c>
      <c r="B336" s="428">
        <f t="shared" si="11"/>
        <v>52079</v>
      </c>
      <c r="C336" s="429">
        <f t="shared" si="18"/>
        <v>0</v>
      </c>
      <c r="D336" s="429">
        <f t="shared" si="12"/>
        <v>63364.835008488124</v>
      </c>
      <c r="E336" s="430">
        <f t="shared" si="13"/>
        <v>0</v>
      </c>
      <c r="F336" s="429">
        <f t="shared" si="14"/>
        <v>0</v>
      </c>
      <c r="G336" s="429">
        <f t="shared" si="15"/>
        <v>0</v>
      </c>
      <c r="H336" s="429">
        <f t="shared" si="17"/>
        <v>0</v>
      </c>
      <c r="I336" s="429">
        <f t="shared" si="16"/>
        <v>0</v>
      </c>
      <c r="J336" s="429">
        <f>SUM($H$18:$H336)</f>
        <v>6020621.5245244987</v>
      </c>
    </row>
    <row r="337" spans="1:10" ht="15" customHeight="1" x14ac:dyDescent="0.15">
      <c r="A337" s="427">
        <v>320</v>
      </c>
      <c r="B337" s="428">
        <f t="shared" si="11"/>
        <v>52110</v>
      </c>
      <c r="C337" s="429">
        <f t="shared" si="18"/>
        <v>0</v>
      </c>
      <c r="D337" s="429">
        <f t="shared" si="12"/>
        <v>63364.835008488124</v>
      </c>
      <c r="E337" s="430">
        <f t="shared" si="13"/>
        <v>0</v>
      </c>
      <c r="F337" s="429">
        <f t="shared" si="14"/>
        <v>0</v>
      </c>
      <c r="G337" s="429">
        <f t="shared" si="15"/>
        <v>0</v>
      </c>
      <c r="H337" s="429">
        <f t="shared" si="17"/>
        <v>0</v>
      </c>
      <c r="I337" s="429">
        <f t="shared" si="16"/>
        <v>0</v>
      </c>
      <c r="J337" s="429">
        <f>SUM($H$18:$H337)</f>
        <v>6020621.5245244987</v>
      </c>
    </row>
    <row r="338" spans="1:10" ht="15" customHeight="1" x14ac:dyDescent="0.15">
      <c r="A338" s="427">
        <v>321</v>
      </c>
      <c r="B338" s="428">
        <f t="shared" si="11"/>
        <v>52140</v>
      </c>
      <c r="C338" s="429">
        <f t="shared" si="18"/>
        <v>0</v>
      </c>
      <c r="D338" s="429">
        <f t="shared" si="12"/>
        <v>63364.835008488124</v>
      </c>
      <c r="E338" s="430">
        <f t="shared" si="13"/>
        <v>0</v>
      </c>
      <c r="F338" s="429">
        <f t="shared" si="14"/>
        <v>0</v>
      </c>
      <c r="G338" s="429">
        <f t="shared" si="15"/>
        <v>0</v>
      </c>
      <c r="H338" s="429">
        <f t="shared" si="17"/>
        <v>0</v>
      </c>
      <c r="I338" s="429">
        <f t="shared" si="16"/>
        <v>0</v>
      </c>
      <c r="J338" s="429">
        <f>SUM($H$18:$H338)</f>
        <v>6020621.5245244987</v>
      </c>
    </row>
    <row r="339" spans="1:10" ht="15" customHeight="1" x14ac:dyDescent="0.15">
      <c r="A339" s="427">
        <v>322</v>
      </c>
      <c r="B339" s="428">
        <f t="shared" si="11"/>
        <v>52171</v>
      </c>
      <c r="C339" s="429">
        <f t="shared" ref="C339:C377" si="19">IF($A$18:$A$377&lt;&gt;"",I338,"")</f>
        <v>0</v>
      </c>
      <c r="D339" s="429">
        <f t="shared" si="12"/>
        <v>63364.835008488124</v>
      </c>
      <c r="E339" s="430">
        <f t="shared" si="13"/>
        <v>0</v>
      </c>
      <c r="F339" s="429">
        <f t="shared" si="14"/>
        <v>0</v>
      </c>
      <c r="G339" s="429">
        <f t="shared" si="15"/>
        <v>0</v>
      </c>
      <c r="H339" s="429">
        <f t="shared" si="17"/>
        <v>0</v>
      </c>
      <c r="I339" s="429">
        <f t="shared" si="16"/>
        <v>0</v>
      </c>
      <c r="J339" s="429">
        <f>SUM($H$18:$H339)</f>
        <v>6020621.5245244987</v>
      </c>
    </row>
    <row r="340" spans="1:10" ht="15" customHeight="1" x14ac:dyDescent="0.15">
      <c r="A340" s="427">
        <v>323</v>
      </c>
      <c r="B340" s="428">
        <f t="shared" si="11"/>
        <v>52201</v>
      </c>
      <c r="C340" s="429">
        <f t="shared" si="19"/>
        <v>0</v>
      </c>
      <c r="D340" s="429">
        <f t="shared" si="12"/>
        <v>63364.835008488124</v>
      </c>
      <c r="E340" s="430">
        <f t="shared" si="13"/>
        <v>0</v>
      </c>
      <c r="F340" s="429">
        <f t="shared" si="14"/>
        <v>0</v>
      </c>
      <c r="G340" s="429">
        <f t="shared" si="15"/>
        <v>0</v>
      </c>
      <c r="H340" s="429">
        <f t="shared" si="17"/>
        <v>0</v>
      </c>
      <c r="I340" s="429">
        <f t="shared" si="16"/>
        <v>0</v>
      </c>
      <c r="J340" s="429">
        <f>SUM($H$18:$H340)</f>
        <v>6020621.5245244987</v>
      </c>
    </row>
    <row r="341" spans="1:10" ht="15" customHeight="1" x14ac:dyDescent="0.15">
      <c r="A341" s="427">
        <v>324</v>
      </c>
      <c r="B341" s="428">
        <f t="shared" si="11"/>
        <v>52232</v>
      </c>
      <c r="C341" s="429">
        <f t="shared" si="19"/>
        <v>0</v>
      </c>
      <c r="D341" s="429">
        <f t="shared" si="12"/>
        <v>63364.835008488124</v>
      </c>
      <c r="E341" s="430">
        <f t="shared" si="13"/>
        <v>0</v>
      </c>
      <c r="F341" s="429">
        <f t="shared" si="14"/>
        <v>0</v>
      </c>
      <c r="G341" s="429">
        <f t="shared" si="15"/>
        <v>0</v>
      </c>
      <c r="H341" s="429">
        <f t="shared" si="17"/>
        <v>0</v>
      </c>
      <c r="I341" s="429">
        <f t="shared" si="16"/>
        <v>0</v>
      </c>
      <c r="J341" s="429">
        <f>SUM($H$18:$H341)</f>
        <v>6020621.5245244987</v>
      </c>
    </row>
    <row r="342" spans="1:10" ht="15" customHeight="1" x14ac:dyDescent="0.15">
      <c r="A342" s="427">
        <v>325</v>
      </c>
      <c r="B342" s="428">
        <f t="shared" si="11"/>
        <v>52263</v>
      </c>
      <c r="C342" s="429">
        <f t="shared" si="19"/>
        <v>0</v>
      </c>
      <c r="D342" s="429">
        <f t="shared" si="12"/>
        <v>63364.835008488124</v>
      </c>
      <c r="E342" s="430">
        <f t="shared" si="13"/>
        <v>0</v>
      </c>
      <c r="F342" s="429">
        <f t="shared" si="14"/>
        <v>0</v>
      </c>
      <c r="G342" s="429">
        <f t="shared" si="15"/>
        <v>0</v>
      </c>
      <c r="H342" s="429">
        <f t="shared" si="17"/>
        <v>0</v>
      </c>
      <c r="I342" s="429">
        <f t="shared" si="16"/>
        <v>0</v>
      </c>
      <c r="J342" s="429">
        <f>SUM($H$18:$H342)</f>
        <v>6020621.5245244987</v>
      </c>
    </row>
    <row r="343" spans="1:10" ht="15" customHeight="1" x14ac:dyDescent="0.15">
      <c r="A343" s="427">
        <v>326</v>
      </c>
      <c r="B343" s="428">
        <f t="shared" si="11"/>
        <v>52291</v>
      </c>
      <c r="C343" s="429">
        <f t="shared" si="19"/>
        <v>0</v>
      </c>
      <c r="D343" s="429">
        <f t="shared" si="12"/>
        <v>63364.835008488124</v>
      </c>
      <c r="E343" s="430">
        <f t="shared" si="13"/>
        <v>0</v>
      </c>
      <c r="F343" s="429">
        <f t="shared" si="14"/>
        <v>0</v>
      </c>
      <c r="G343" s="429">
        <f t="shared" si="15"/>
        <v>0</v>
      </c>
      <c r="H343" s="429">
        <f t="shared" si="17"/>
        <v>0</v>
      </c>
      <c r="I343" s="429">
        <f t="shared" si="16"/>
        <v>0</v>
      </c>
      <c r="J343" s="429">
        <f>SUM($H$18:$H343)</f>
        <v>6020621.5245244987</v>
      </c>
    </row>
    <row r="344" spans="1:10" ht="15" customHeight="1" x14ac:dyDescent="0.15">
      <c r="A344" s="427">
        <v>327</v>
      </c>
      <c r="B344" s="428">
        <f t="shared" si="11"/>
        <v>52322</v>
      </c>
      <c r="C344" s="429">
        <f t="shared" si="19"/>
        <v>0</v>
      </c>
      <c r="D344" s="429">
        <f t="shared" si="12"/>
        <v>63364.835008488124</v>
      </c>
      <c r="E344" s="430">
        <f t="shared" si="13"/>
        <v>0</v>
      </c>
      <c r="F344" s="429">
        <f t="shared" si="14"/>
        <v>0</v>
      </c>
      <c r="G344" s="429">
        <f t="shared" si="15"/>
        <v>0</v>
      </c>
      <c r="H344" s="429">
        <f t="shared" si="17"/>
        <v>0</v>
      </c>
      <c r="I344" s="429">
        <f t="shared" si="16"/>
        <v>0</v>
      </c>
      <c r="J344" s="429">
        <f>SUM($H$18:$H344)</f>
        <v>6020621.5245244987</v>
      </c>
    </row>
    <row r="345" spans="1:10" ht="15" customHeight="1" x14ac:dyDescent="0.15">
      <c r="A345" s="427">
        <v>328</v>
      </c>
      <c r="B345" s="428">
        <f t="shared" si="11"/>
        <v>52352</v>
      </c>
      <c r="C345" s="429">
        <f t="shared" si="19"/>
        <v>0</v>
      </c>
      <c r="D345" s="429">
        <f t="shared" si="12"/>
        <v>63364.835008488124</v>
      </c>
      <c r="E345" s="430">
        <f t="shared" si="13"/>
        <v>0</v>
      </c>
      <c r="F345" s="429">
        <f t="shared" si="14"/>
        <v>0</v>
      </c>
      <c r="G345" s="429">
        <f t="shared" si="15"/>
        <v>0</v>
      </c>
      <c r="H345" s="429">
        <f t="shared" si="17"/>
        <v>0</v>
      </c>
      <c r="I345" s="429">
        <f t="shared" si="16"/>
        <v>0</v>
      </c>
      <c r="J345" s="429">
        <f>SUM($H$18:$H345)</f>
        <v>6020621.5245244987</v>
      </c>
    </row>
    <row r="346" spans="1:10" ht="15" customHeight="1" x14ac:dyDescent="0.15">
      <c r="A346" s="427">
        <v>329</v>
      </c>
      <c r="B346" s="428">
        <f t="shared" si="11"/>
        <v>52383</v>
      </c>
      <c r="C346" s="429">
        <f t="shared" si="19"/>
        <v>0</v>
      </c>
      <c r="D346" s="429">
        <f t="shared" si="12"/>
        <v>63364.835008488124</v>
      </c>
      <c r="E346" s="430">
        <f t="shared" si="13"/>
        <v>0</v>
      </c>
      <c r="F346" s="429">
        <f t="shared" si="14"/>
        <v>0</v>
      </c>
      <c r="G346" s="429">
        <f t="shared" si="15"/>
        <v>0</v>
      </c>
      <c r="H346" s="429">
        <f t="shared" si="17"/>
        <v>0</v>
      </c>
      <c r="I346" s="429">
        <f t="shared" si="16"/>
        <v>0</v>
      </c>
      <c r="J346" s="429">
        <f>SUM($H$18:$H346)</f>
        <v>6020621.5245244987</v>
      </c>
    </row>
    <row r="347" spans="1:10" ht="15" customHeight="1" x14ac:dyDescent="0.15">
      <c r="A347" s="427">
        <v>330</v>
      </c>
      <c r="B347" s="428">
        <f t="shared" si="11"/>
        <v>52413</v>
      </c>
      <c r="C347" s="429">
        <f t="shared" si="19"/>
        <v>0</v>
      </c>
      <c r="D347" s="429">
        <f t="shared" si="12"/>
        <v>63364.835008488124</v>
      </c>
      <c r="E347" s="430">
        <f t="shared" si="13"/>
        <v>0</v>
      </c>
      <c r="F347" s="429">
        <f t="shared" si="14"/>
        <v>0</v>
      </c>
      <c r="G347" s="429">
        <f t="shared" si="15"/>
        <v>0</v>
      </c>
      <c r="H347" s="429">
        <f t="shared" si="17"/>
        <v>0</v>
      </c>
      <c r="I347" s="429">
        <f t="shared" si="16"/>
        <v>0</v>
      </c>
      <c r="J347" s="429">
        <f>SUM($H$18:$H347)</f>
        <v>6020621.5245244987</v>
      </c>
    </row>
    <row r="348" spans="1:10" ht="15" customHeight="1" x14ac:dyDescent="0.15">
      <c r="A348" s="427">
        <v>331</v>
      </c>
      <c r="B348" s="428">
        <f t="shared" si="11"/>
        <v>52444</v>
      </c>
      <c r="C348" s="429">
        <f t="shared" si="19"/>
        <v>0</v>
      </c>
      <c r="D348" s="429">
        <f t="shared" si="12"/>
        <v>63364.835008488124</v>
      </c>
      <c r="E348" s="430">
        <f t="shared" si="13"/>
        <v>0</v>
      </c>
      <c r="F348" s="429">
        <f t="shared" si="14"/>
        <v>0</v>
      </c>
      <c r="G348" s="429">
        <f t="shared" si="15"/>
        <v>0</v>
      </c>
      <c r="H348" s="429">
        <f t="shared" si="17"/>
        <v>0</v>
      </c>
      <c r="I348" s="429">
        <f t="shared" si="16"/>
        <v>0</v>
      </c>
      <c r="J348" s="429">
        <f>SUM($H$18:$H348)</f>
        <v>6020621.5245244987</v>
      </c>
    </row>
    <row r="349" spans="1:10" ht="15" customHeight="1" x14ac:dyDescent="0.15">
      <c r="A349" s="427">
        <v>332</v>
      </c>
      <c r="B349" s="428">
        <f t="shared" si="11"/>
        <v>52475</v>
      </c>
      <c r="C349" s="429">
        <f t="shared" si="19"/>
        <v>0</v>
      </c>
      <c r="D349" s="429">
        <f t="shared" si="12"/>
        <v>63364.835008488124</v>
      </c>
      <c r="E349" s="430">
        <f t="shared" si="13"/>
        <v>0</v>
      </c>
      <c r="F349" s="429">
        <f t="shared" si="14"/>
        <v>0</v>
      </c>
      <c r="G349" s="429">
        <f t="shared" si="15"/>
        <v>0</v>
      </c>
      <c r="H349" s="429">
        <f t="shared" si="17"/>
        <v>0</v>
      </c>
      <c r="I349" s="429">
        <f t="shared" si="16"/>
        <v>0</v>
      </c>
      <c r="J349" s="429">
        <f>SUM($H$18:$H349)</f>
        <v>6020621.5245244987</v>
      </c>
    </row>
    <row r="350" spans="1:10" ht="15" customHeight="1" x14ac:dyDescent="0.15">
      <c r="A350" s="427">
        <v>333</v>
      </c>
      <c r="B350" s="428">
        <f t="shared" si="11"/>
        <v>52505</v>
      </c>
      <c r="C350" s="429">
        <f t="shared" si="19"/>
        <v>0</v>
      </c>
      <c r="D350" s="429">
        <f t="shared" si="12"/>
        <v>63364.835008488124</v>
      </c>
      <c r="E350" s="430">
        <f t="shared" si="13"/>
        <v>0</v>
      </c>
      <c r="F350" s="429">
        <f t="shared" si="14"/>
        <v>0</v>
      </c>
      <c r="G350" s="429">
        <f t="shared" si="15"/>
        <v>0</v>
      </c>
      <c r="H350" s="429">
        <f t="shared" si="17"/>
        <v>0</v>
      </c>
      <c r="I350" s="429">
        <f t="shared" si="16"/>
        <v>0</v>
      </c>
      <c r="J350" s="429">
        <f>SUM($H$18:$H350)</f>
        <v>6020621.5245244987</v>
      </c>
    </row>
    <row r="351" spans="1:10" ht="15" customHeight="1" x14ac:dyDescent="0.15">
      <c r="A351" s="427">
        <v>334</v>
      </c>
      <c r="B351" s="428">
        <f t="shared" si="11"/>
        <v>52536</v>
      </c>
      <c r="C351" s="429">
        <f t="shared" si="19"/>
        <v>0</v>
      </c>
      <c r="D351" s="429">
        <f t="shared" si="12"/>
        <v>63364.835008488124</v>
      </c>
      <c r="E351" s="430">
        <f t="shared" si="13"/>
        <v>0</v>
      </c>
      <c r="F351" s="429">
        <f t="shared" si="14"/>
        <v>0</v>
      </c>
      <c r="G351" s="429">
        <f t="shared" si="15"/>
        <v>0</v>
      </c>
      <c r="H351" s="429">
        <f t="shared" si="17"/>
        <v>0</v>
      </c>
      <c r="I351" s="429">
        <f t="shared" si="16"/>
        <v>0</v>
      </c>
      <c r="J351" s="429">
        <f>SUM($H$18:$H351)</f>
        <v>6020621.5245244987</v>
      </c>
    </row>
    <row r="352" spans="1:10" ht="15" customHeight="1" x14ac:dyDescent="0.15">
      <c r="A352" s="427">
        <v>335</v>
      </c>
      <c r="B352" s="428">
        <f t="shared" si="11"/>
        <v>52566</v>
      </c>
      <c r="C352" s="429">
        <f t="shared" si="19"/>
        <v>0</v>
      </c>
      <c r="D352" s="429">
        <f t="shared" si="12"/>
        <v>63364.835008488124</v>
      </c>
      <c r="E352" s="430">
        <f t="shared" si="13"/>
        <v>0</v>
      </c>
      <c r="F352" s="429">
        <f t="shared" si="14"/>
        <v>0</v>
      </c>
      <c r="G352" s="429">
        <f t="shared" si="15"/>
        <v>0</v>
      </c>
      <c r="H352" s="429">
        <f t="shared" si="17"/>
        <v>0</v>
      </c>
      <c r="I352" s="429">
        <f t="shared" si="16"/>
        <v>0</v>
      </c>
      <c r="J352" s="429">
        <f>SUM($H$18:$H352)</f>
        <v>6020621.5245244987</v>
      </c>
    </row>
    <row r="353" spans="1:10" ht="15" customHeight="1" x14ac:dyDescent="0.15">
      <c r="A353" s="427">
        <v>336</v>
      </c>
      <c r="B353" s="428">
        <f t="shared" si="11"/>
        <v>52597</v>
      </c>
      <c r="C353" s="429">
        <f t="shared" si="19"/>
        <v>0</v>
      </c>
      <c r="D353" s="429">
        <f t="shared" si="12"/>
        <v>63364.835008488124</v>
      </c>
      <c r="E353" s="430">
        <f t="shared" si="13"/>
        <v>0</v>
      </c>
      <c r="F353" s="429">
        <f t="shared" si="14"/>
        <v>0</v>
      </c>
      <c r="G353" s="429">
        <f t="shared" si="15"/>
        <v>0</v>
      </c>
      <c r="H353" s="429">
        <f t="shared" si="17"/>
        <v>0</v>
      </c>
      <c r="I353" s="429">
        <f t="shared" si="16"/>
        <v>0</v>
      </c>
      <c r="J353" s="429">
        <f>SUM($H$18:$H353)</f>
        <v>6020621.5245244987</v>
      </c>
    </row>
    <row r="354" spans="1:10" ht="15" customHeight="1" x14ac:dyDescent="0.15">
      <c r="A354" s="427">
        <v>337</v>
      </c>
      <c r="B354" s="428">
        <f t="shared" si="11"/>
        <v>52628</v>
      </c>
      <c r="C354" s="429">
        <f t="shared" si="19"/>
        <v>0</v>
      </c>
      <c r="D354" s="429">
        <f t="shared" si="12"/>
        <v>63364.835008488124</v>
      </c>
      <c r="E354" s="430">
        <f t="shared" si="13"/>
        <v>0</v>
      </c>
      <c r="F354" s="429">
        <f t="shared" si="14"/>
        <v>0</v>
      </c>
      <c r="G354" s="429">
        <f t="shared" si="15"/>
        <v>0</v>
      </c>
      <c r="H354" s="429">
        <f t="shared" si="17"/>
        <v>0</v>
      </c>
      <c r="I354" s="429">
        <f t="shared" si="16"/>
        <v>0</v>
      </c>
      <c r="J354" s="429">
        <f>SUM($H$18:$H354)</f>
        <v>6020621.5245244987</v>
      </c>
    </row>
    <row r="355" spans="1:10" ht="15" customHeight="1" x14ac:dyDescent="0.15">
      <c r="A355" s="427">
        <v>338</v>
      </c>
      <c r="B355" s="428">
        <f t="shared" si="11"/>
        <v>52657</v>
      </c>
      <c r="C355" s="429">
        <f t="shared" si="19"/>
        <v>0</v>
      </c>
      <c r="D355" s="429">
        <f t="shared" si="12"/>
        <v>63364.835008488124</v>
      </c>
      <c r="E355" s="430">
        <f t="shared" si="13"/>
        <v>0</v>
      </c>
      <c r="F355" s="429">
        <f t="shared" si="14"/>
        <v>0</v>
      </c>
      <c r="G355" s="429">
        <f t="shared" si="15"/>
        <v>0</v>
      </c>
      <c r="H355" s="429">
        <f t="shared" si="17"/>
        <v>0</v>
      </c>
      <c r="I355" s="429">
        <f t="shared" si="16"/>
        <v>0</v>
      </c>
      <c r="J355" s="429">
        <f>SUM($H$18:$H355)</f>
        <v>6020621.5245244987</v>
      </c>
    </row>
    <row r="356" spans="1:10" ht="15" customHeight="1" x14ac:dyDescent="0.15">
      <c r="A356" s="427">
        <v>339</v>
      </c>
      <c r="B356" s="428">
        <f t="shared" si="11"/>
        <v>52688</v>
      </c>
      <c r="C356" s="429">
        <f t="shared" si="19"/>
        <v>0</v>
      </c>
      <c r="D356" s="429">
        <f t="shared" si="12"/>
        <v>63364.835008488124</v>
      </c>
      <c r="E356" s="430">
        <f t="shared" si="13"/>
        <v>0</v>
      </c>
      <c r="F356" s="429">
        <f t="shared" si="14"/>
        <v>0</v>
      </c>
      <c r="G356" s="429">
        <f t="shared" si="15"/>
        <v>0</v>
      </c>
      <c r="H356" s="429">
        <f t="shared" si="17"/>
        <v>0</v>
      </c>
      <c r="I356" s="429">
        <f t="shared" si="16"/>
        <v>0</v>
      </c>
      <c r="J356" s="429">
        <f>SUM($H$18:$H356)</f>
        <v>6020621.5245244987</v>
      </c>
    </row>
    <row r="357" spans="1:10" ht="15" customHeight="1" x14ac:dyDescent="0.15">
      <c r="A357" s="427">
        <v>340</v>
      </c>
      <c r="B357" s="428">
        <f t="shared" si="11"/>
        <v>52718</v>
      </c>
      <c r="C357" s="429">
        <f t="shared" si="19"/>
        <v>0</v>
      </c>
      <c r="D357" s="429">
        <f t="shared" si="12"/>
        <v>63364.835008488124</v>
      </c>
      <c r="E357" s="430">
        <f t="shared" si="13"/>
        <v>0</v>
      </c>
      <c r="F357" s="429">
        <f t="shared" si="14"/>
        <v>0</v>
      </c>
      <c r="G357" s="429">
        <f t="shared" si="15"/>
        <v>0</v>
      </c>
      <c r="H357" s="429">
        <f t="shared" si="17"/>
        <v>0</v>
      </c>
      <c r="I357" s="429">
        <f t="shared" si="16"/>
        <v>0</v>
      </c>
      <c r="J357" s="429">
        <f>SUM($H$18:$H357)</f>
        <v>6020621.5245244987</v>
      </c>
    </row>
    <row r="358" spans="1:10" ht="15" customHeight="1" x14ac:dyDescent="0.15">
      <c r="A358" s="427">
        <v>341</v>
      </c>
      <c r="B358" s="428">
        <f t="shared" si="11"/>
        <v>52749</v>
      </c>
      <c r="C358" s="429">
        <f t="shared" si="19"/>
        <v>0</v>
      </c>
      <c r="D358" s="429">
        <f t="shared" si="12"/>
        <v>63364.835008488124</v>
      </c>
      <c r="E358" s="430">
        <f t="shared" si="13"/>
        <v>0</v>
      </c>
      <c r="F358" s="429">
        <f t="shared" si="14"/>
        <v>0</v>
      </c>
      <c r="G358" s="429">
        <f t="shared" si="15"/>
        <v>0</v>
      </c>
      <c r="H358" s="429">
        <f t="shared" si="17"/>
        <v>0</v>
      </c>
      <c r="I358" s="429">
        <f t="shared" si="16"/>
        <v>0</v>
      </c>
      <c r="J358" s="429">
        <f>SUM($H$18:$H358)</f>
        <v>6020621.5245244987</v>
      </c>
    </row>
    <row r="359" spans="1:10" ht="15" customHeight="1" x14ac:dyDescent="0.15">
      <c r="A359" s="427">
        <v>342</v>
      </c>
      <c r="B359" s="428">
        <f t="shared" si="11"/>
        <v>52779</v>
      </c>
      <c r="C359" s="429">
        <f t="shared" si="19"/>
        <v>0</v>
      </c>
      <c r="D359" s="429">
        <f t="shared" si="12"/>
        <v>63364.835008488124</v>
      </c>
      <c r="E359" s="430">
        <f t="shared" si="13"/>
        <v>0</v>
      </c>
      <c r="F359" s="429">
        <f t="shared" si="14"/>
        <v>0</v>
      </c>
      <c r="G359" s="429">
        <f t="shared" si="15"/>
        <v>0</v>
      </c>
      <c r="H359" s="429">
        <f t="shared" si="17"/>
        <v>0</v>
      </c>
      <c r="I359" s="429">
        <f t="shared" si="16"/>
        <v>0</v>
      </c>
      <c r="J359" s="429">
        <f>SUM($H$18:$H359)</f>
        <v>6020621.5245244987</v>
      </c>
    </row>
    <row r="360" spans="1:10" ht="15" customHeight="1" x14ac:dyDescent="0.15">
      <c r="A360" s="427">
        <v>343</v>
      </c>
      <c r="B360" s="428">
        <f t="shared" si="11"/>
        <v>52810</v>
      </c>
      <c r="C360" s="429">
        <f t="shared" si="19"/>
        <v>0</v>
      </c>
      <c r="D360" s="429">
        <f t="shared" si="12"/>
        <v>63364.835008488124</v>
      </c>
      <c r="E360" s="430">
        <f t="shared" si="13"/>
        <v>0</v>
      </c>
      <c r="F360" s="429">
        <f t="shared" si="14"/>
        <v>0</v>
      </c>
      <c r="G360" s="429">
        <f t="shared" si="15"/>
        <v>0</v>
      </c>
      <c r="H360" s="429">
        <f t="shared" si="17"/>
        <v>0</v>
      </c>
      <c r="I360" s="429">
        <f t="shared" si="16"/>
        <v>0</v>
      </c>
      <c r="J360" s="429">
        <f>SUM($H$18:$H360)</f>
        <v>6020621.5245244987</v>
      </c>
    </row>
    <row r="361" spans="1:10" ht="15" customHeight="1" x14ac:dyDescent="0.15">
      <c r="A361" s="427">
        <v>344</v>
      </c>
      <c r="B361" s="428">
        <f t="shared" si="11"/>
        <v>52841</v>
      </c>
      <c r="C361" s="429">
        <f t="shared" si="19"/>
        <v>0</v>
      </c>
      <c r="D361" s="429">
        <f t="shared" si="12"/>
        <v>63364.835008488124</v>
      </c>
      <c r="E361" s="430">
        <f t="shared" si="13"/>
        <v>0</v>
      </c>
      <c r="F361" s="429">
        <f t="shared" si="14"/>
        <v>0</v>
      </c>
      <c r="G361" s="429">
        <f t="shared" si="15"/>
        <v>0</v>
      </c>
      <c r="H361" s="429">
        <f t="shared" si="17"/>
        <v>0</v>
      </c>
      <c r="I361" s="429">
        <f t="shared" si="16"/>
        <v>0</v>
      </c>
      <c r="J361" s="429">
        <f>SUM($H$18:$H361)</f>
        <v>6020621.5245244987</v>
      </c>
    </row>
    <row r="362" spans="1:10" ht="15" customHeight="1" x14ac:dyDescent="0.15">
      <c r="A362" s="427">
        <v>345</v>
      </c>
      <c r="B362" s="428">
        <f t="shared" si="11"/>
        <v>52871</v>
      </c>
      <c r="C362" s="429">
        <f t="shared" si="19"/>
        <v>0</v>
      </c>
      <c r="D362" s="429">
        <f t="shared" si="12"/>
        <v>63364.835008488124</v>
      </c>
      <c r="E362" s="430">
        <f t="shared" si="13"/>
        <v>0</v>
      </c>
      <c r="F362" s="429">
        <f t="shared" si="14"/>
        <v>0</v>
      </c>
      <c r="G362" s="429">
        <f t="shared" si="15"/>
        <v>0</v>
      </c>
      <c r="H362" s="429">
        <f t="shared" si="17"/>
        <v>0</v>
      </c>
      <c r="I362" s="429">
        <f t="shared" si="16"/>
        <v>0</v>
      </c>
      <c r="J362" s="429">
        <f>SUM($H$18:$H362)</f>
        <v>6020621.5245244987</v>
      </c>
    </row>
    <row r="363" spans="1:10" ht="15" customHeight="1" x14ac:dyDescent="0.15">
      <c r="A363" s="427">
        <v>346</v>
      </c>
      <c r="B363" s="428">
        <f t="shared" si="11"/>
        <v>52902</v>
      </c>
      <c r="C363" s="429">
        <f t="shared" si="19"/>
        <v>0</v>
      </c>
      <c r="D363" s="429">
        <f t="shared" si="12"/>
        <v>63364.835008488124</v>
      </c>
      <c r="E363" s="430">
        <f t="shared" si="13"/>
        <v>0</v>
      </c>
      <c r="F363" s="429">
        <f t="shared" si="14"/>
        <v>0</v>
      </c>
      <c r="G363" s="429">
        <f t="shared" si="15"/>
        <v>0</v>
      </c>
      <c r="H363" s="429">
        <f t="shared" si="17"/>
        <v>0</v>
      </c>
      <c r="I363" s="429">
        <f t="shared" si="16"/>
        <v>0</v>
      </c>
      <c r="J363" s="429">
        <f>SUM($H$18:$H363)</f>
        <v>6020621.5245244987</v>
      </c>
    </row>
    <row r="364" spans="1:10" ht="15" customHeight="1" x14ac:dyDescent="0.15">
      <c r="A364" s="427">
        <v>347</v>
      </c>
      <c r="B364" s="428">
        <f t="shared" si="11"/>
        <v>52932</v>
      </c>
      <c r="C364" s="429">
        <f t="shared" si="19"/>
        <v>0</v>
      </c>
      <c r="D364" s="429">
        <f t="shared" si="12"/>
        <v>63364.835008488124</v>
      </c>
      <c r="E364" s="430">
        <f t="shared" si="13"/>
        <v>0</v>
      </c>
      <c r="F364" s="429">
        <f t="shared" si="14"/>
        <v>0</v>
      </c>
      <c r="G364" s="429">
        <f t="shared" si="15"/>
        <v>0</v>
      </c>
      <c r="H364" s="429">
        <f t="shared" si="17"/>
        <v>0</v>
      </c>
      <c r="I364" s="429">
        <f t="shared" si="16"/>
        <v>0</v>
      </c>
      <c r="J364" s="429">
        <f>SUM($H$18:$H364)</f>
        <v>6020621.5245244987</v>
      </c>
    </row>
    <row r="365" spans="1:10" ht="15" customHeight="1" x14ac:dyDescent="0.15">
      <c r="A365" s="427">
        <v>348</v>
      </c>
      <c r="B365" s="428">
        <f t="shared" si="11"/>
        <v>52963</v>
      </c>
      <c r="C365" s="429">
        <f t="shared" si="19"/>
        <v>0</v>
      </c>
      <c r="D365" s="429">
        <f t="shared" si="12"/>
        <v>63364.835008488124</v>
      </c>
      <c r="E365" s="430">
        <f t="shared" si="13"/>
        <v>0</v>
      </c>
      <c r="F365" s="429">
        <f t="shared" si="14"/>
        <v>0</v>
      </c>
      <c r="G365" s="429">
        <f t="shared" si="15"/>
        <v>0</v>
      </c>
      <c r="H365" s="429">
        <f t="shared" si="17"/>
        <v>0</v>
      </c>
      <c r="I365" s="429">
        <f t="shared" si="16"/>
        <v>0</v>
      </c>
      <c r="J365" s="429">
        <f>SUM($H$18:$H365)</f>
        <v>6020621.5245244987</v>
      </c>
    </row>
    <row r="366" spans="1:10" ht="15" customHeight="1" x14ac:dyDescent="0.15">
      <c r="A366" s="427">
        <v>349</v>
      </c>
      <c r="B366" s="428">
        <f t="shared" si="11"/>
        <v>52994</v>
      </c>
      <c r="C366" s="429">
        <f t="shared" si="19"/>
        <v>0</v>
      </c>
      <c r="D366" s="429">
        <f t="shared" si="12"/>
        <v>63364.835008488124</v>
      </c>
      <c r="E366" s="430">
        <f t="shared" si="13"/>
        <v>0</v>
      </c>
      <c r="F366" s="429">
        <f t="shared" si="14"/>
        <v>0</v>
      </c>
      <c r="G366" s="429">
        <f t="shared" si="15"/>
        <v>0</v>
      </c>
      <c r="H366" s="429">
        <f t="shared" si="17"/>
        <v>0</v>
      </c>
      <c r="I366" s="429">
        <f t="shared" si="16"/>
        <v>0</v>
      </c>
      <c r="J366" s="429">
        <f>SUM($H$18:$H366)</f>
        <v>6020621.5245244987</v>
      </c>
    </row>
    <row r="367" spans="1:10" ht="15" customHeight="1" x14ac:dyDescent="0.15">
      <c r="A367" s="427">
        <v>350</v>
      </c>
      <c r="B367" s="428">
        <f t="shared" si="11"/>
        <v>53022</v>
      </c>
      <c r="C367" s="429">
        <f t="shared" si="19"/>
        <v>0</v>
      </c>
      <c r="D367" s="429">
        <f t="shared" si="12"/>
        <v>63364.835008488124</v>
      </c>
      <c r="E367" s="430">
        <f t="shared" si="13"/>
        <v>0</v>
      </c>
      <c r="F367" s="429">
        <f t="shared" si="14"/>
        <v>0</v>
      </c>
      <c r="G367" s="429">
        <f t="shared" si="15"/>
        <v>0</v>
      </c>
      <c r="H367" s="429">
        <f t="shared" si="17"/>
        <v>0</v>
      </c>
      <c r="I367" s="429">
        <f t="shared" si="16"/>
        <v>0</v>
      </c>
      <c r="J367" s="429">
        <f>SUM($H$18:$H367)</f>
        <v>6020621.5245244987</v>
      </c>
    </row>
    <row r="368" spans="1:10" ht="15" customHeight="1" x14ac:dyDescent="0.15">
      <c r="A368" s="427">
        <v>351</v>
      </c>
      <c r="B368" s="428">
        <f t="shared" si="11"/>
        <v>53053</v>
      </c>
      <c r="C368" s="429">
        <f t="shared" si="19"/>
        <v>0</v>
      </c>
      <c r="D368" s="429">
        <f t="shared" si="12"/>
        <v>63364.835008488124</v>
      </c>
      <c r="E368" s="430">
        <f t="shared" si="13"/>
        <v>0</v>
      </c>
      <c r="F368" s="429">
        <f t="shared" si="14"/>
        <v>0</v>
      </c>
      <c r="G368" s="429">
        <f t="shared" si="15"/>
        <v>0</v>
      </c>
      <c r="H368" s="429">
        <f t="shared" si="17"/>
        <v>0</v>
      </c>
      <c r="I368" s="429">
        <f t="shared" si="16"/>
        <v>0</v>
      </c>
      <c r="J368" s="429">
        <f>SUM($H$18:$H368)</f>
        <v>6020621.5245244987</v>
      </c>
    </row>
    <row r="369" spans="1:10" ht="15" customHeight="1" x14ac:dyDescent="0.15">
      <c r="A369" s="427">
        <v>352</v>
      </c>
      <c r="B369" s="428">
        <f t="shared" si="11"/>
        <v>53083</v>
      </c>
      <c r="C369" s="429">
        <f t="shared" si="19"/>
        <v>0</v>
      </c>
      <c r="D369" s="429">
        <f t="shared" si="12"/>
        <v>63364.835008488124</v>
      </c>
      <c r="E369" s="430">
        <f t="shared" si="13"/>
        <v>0</v>
      </c>
      <c r="F369" s="429">
        <f t="shared" si="14"/>
        <v>0</v>
      </c>
      <c r="G369" s="429">
        <f t="shared" si="15"/>
        <v>0</v>
      </c>
      <c r="H369" s="429">
        <f t="shared" si="17"/>
        <v>0</v>
      </c>
      <c r="I369" s="429">
        <f t="shared" si="16"/>
        <v>0</v>
      </c>
      <c r="J369" s="429">
        <f>SUM($H$18:$H369)</f>
        <v>6020621.5245244987</v>
      </c>
    </row>
    <row r="370" spans="1:10" ht="15" customHeight="1" x14ac:dyDescent="0.15">
      <c r="A370" s="427">
        <v>353</v>
      </c>
      <c r="B370" s="428">
        <f t="shared" si="11"/>
        <v>53114</v>
      </c>
      <c r="C370" s="429">
        <f t="shared" si="19"/>
        <v>0</v>
      </c>
      <c r="D370" s="429">
        <f t="shared" si="12"/>
        <v>63364.835008488124</v>
      </c>
      <c r="E370" s="430">
        <f t="shared" si="13"/>
        <v>0</v>
      </c>
      <c r="F370" s="429">
        <f t="shared" si="14"/>
        <v>0</v>
      </c>
      <c r="G370" s="429">
        <f t="shared" si="15"/>
        <v>0</v>
      </c>
      <c r="H370" s="429">
        <f t="shared" si="17"/>
        <v>0</v>
      </c>
      <c r="I370" s="429">
        <f t="shared" si="16"/>
        <v>0</v>
      </c>
      <c r="J370" s="429">
        <f>SUM($H$18:$H370)</f>
        <v>6020621.5245244987</v>
      </c>
    </row>
    <row r="371" spans="1:10" ht="15" customHeight="1" x14ac:dyDescent="0.15">
      <c r="A371" s="427">
        <v>354</v>
      </c>
      <c r="B371" s="428">
        <f t="shared" si="11"/>
        <v>53144</v>
      </c>
      <c r="C371" s="429">
        <f t="shared" si="19"/>
        <v>0</v>
      </c>
      <c r="D371" s="429">
        <f t="shared" si="12"/>
        <v>63364.835008488124</v>
      </c>
      <c r="E371" s="430">
        <f t="shared" si="13"/>
        <v>0</v>
      </c>
      <c r="F371" s="429">
        <f t="shared" si="14"/>
        <v>0</v>
      </c>
      <c r="G371" s="429">
        <f t="shared" si="15"/>
        <v>0</v>
      </c>
      <c r="H371" s="429">
        <f t="shared" si="17"/>
        <v>0</v>
      </c>
      <c r="I371" s="429">
        <f t="shared" si="16"/>
        <v>0</v>
      </c>
      <c r="J371" s="429">
        <f>SUM($H$18:$H371)</f>
        <v>6020621.5245244987</v>
      </c>
    </row>
    <row r="372" spans="1:10" ht="15" customHeight="1" x14ac:dyDescent="0.15">
      <c r="A372" s="427">
        <v>355</v>
      </c>
      <c r="B372" s="428">
        <f t="shared" si="11"/>
        <v>53175</v>
      </c>
      <c r="C372" s="429">
        <f t="shared" si="19"/>
        <v>0</v>
      </c>
      <c r="D372" s="429">
        <f t="shared" si="12"/>
        <v>63364.835008488124</v>
      </c>
      <c r="E372" s="430">
        <f t="shared" si="13"/>
        <v>0</v>
      </c>
      <c r="F372" s="429">
        <f t="shared" si="14"/>
        <v>0</v>
      </c>
      <c r="G372" s="429">
        <f t="shared" si="15"/>
        <v>0</v>
      </c>
      <c r="H372" s="429">
        <f t="shared" si="17"/>
        <v>0</v>
      </c>
      <c r="I372" s="429">
        <f t="shared" si="16"/>
        <v>0</v>
      </c>
      <c r="J372" s="429">
        <f>SUM($H$18:$H372)</f>
        <v>6020621.5245244987</v>
      </c>
    </row>
    <row r="373" spans="1:10" ht="15" customHeight="1" x14ac:dyDescent="0.15">
      <c r="A373" s="427">
        <v>356</v>
      </c>
      <c r="B373" s="428">
        <f t="shared" si="11"/>
        <v>53206</v>
      </c>
      <c r="C373" s="429">
        <f t="shared" si="19"/>
        <v>0</v>
      </c>
      <c r="D373" s="429">
        <f t="shared" si="12"/>
        <v>63364.835008488124</v>
      </c>
      <c r="E373" s="430">
        <f t="shared" si="13"/>
        <v>0</v>
      </c>
      <c r="F373" s="429">
        <f t="shared" si="14"/>
        <v>0</v>
      </c>
      <c r="G373" s="429">
        <f t="shared" si="15"/>
        <v>0</v>
      </c>
      <c r="H373" s="429">
        <f t="shared" si="17"/>
        <v>0</v>
      </c>
      <c r="I373" s="429">
        <f t="shared" si="16"/>
        <v>0</v>
      </c>
      <c r="J373" s="429">
        <f>SUM($H$18:$H373)</f>
        <v>6020621.5245244987</v>
      </c>
    </row>
    <row r="374" spans="1:10" ht="15" customHeight="1" x14ac:dyDescent="0.15">
      <c r="A374" s="427">
        <v>357</v>
      </c>
      <c r="B374" s="428">
        <f t="shared" si="11"/>
        <v>53236</v>
      </c>
      <c r="C374" s="429">
        <f t="shared" si="19"/>
        <v>0</v>
      </c>
      <c r="D374" s="429">
        <f t="shared" si="12"/>
        <v>63364.835008488124</v>
      </c>
      <c r="E374" s="430">
        <f t="shared" si="13"/>
        <v>0</v>
      </c>
      <c r="F374" s="429">
        <f t="shared" si="14"/>
        <v>0</v>
      </c>
      <c r="G374" s="429">
        <f t="shared" si="15"/>
        <v>0</v>
      </c>
      <c r="H374" s="429">
        <f t="shared" si="17"/>
        <v>0</v>
      </c>
      <c r="I374" s="429">
        <f t="shared" si="16"/>
        <v>0</v>
      </c>
      <c r="J374" s="429">
        <f>SUM($H$18:$H374)</f>
        <v>6020621.5245244987</v>
      </c>
    </row>
    <row r="375" spans="1:10" ht="15" customHeight="1" x14ac:dyDescent="0.15">
      <c r="A375" s="427">
        <v>358</v>
      </c>
      <c r="B375" s="428">
        <f t="shared" si="11"/>
        <v>53267</v>
      </c>
      <c r="C375" s="429">
        <f t="shared" si="19"/>
        <v>0</v>
      </c>
      <c r="D375" s="429">
        <f t="shared" si="12"/>
        <v>63364.835008488124</v>
      </c>
      <c r="E375" s="430">
        <f t="shared" si="13"/>
        <v>0</v>
      </c>
      <c r="F375" s="429">
        <f t="shared" si="14"/>
        <v>0</v>
      </c>
      <c r="G375" s="429">
        <f t="shared" si="15"/>
        <v>0</v>
      </c>
      <c r="H375" s="429">
        <f t="shared" si="17"/>
        <v>0</v>
      </c>
      <c r="I375" s="429">
        <f t="shared" si="16"/>
        <v>0</v>
      </c>
      <c r="J375" s="429">
        <f>SUM($H$18:$H375)</f>
        <v>6020621.5245244987</v>
      </c>
    </row>
    <row r="376" spans="1:10" ht="15" customHeight="1" x14ac:dyDescent="0.15">
      <c r="A376" s="427">
        <v>359</v>
      </c>
      <c r="B376" s="428">
        <f t="shared" si="11"/>
        <v>53297</v>
      </c>
      <c r="C376" s="429">
        <f t="shared" si="19"/>
        <v>0</v>
      </c>
      <c r="D376" s="429">
        <f t="shared" si="12"/>
        <v>63364.835008488124</v>
      </c>
      <c r="E376" s="430">
        <f t="shared" si="13"/>
        <v>0</v>
      </c>
      <c r="F376" s="429">
        <f t="shared" si="14"/>
        <v>0</v>
      </c>
      <c r="G376" s="429">
        <f t="shared" si="15"/>
        <v>0</v>
      </c>
      <c r="H376" s="429">
        <f t="shared" si="17"/>
        <v>0</v>
      </c>
      <c r="I376" s="429">
        <f t="shared" si="16"/>
        <v>0</v>
      </c>
      <c r="J376" s="429">
        <f>SUM($H$18:$H376)</f>
        <v>6020621.5245244987</v>
      </c>
    </row>
    <row r="377" spans="1:10" ht="15" customHeight="1" x14ac:dyDescent="0.15">
      <c r="A377" s="427">
        <v>360</v>
      </c>
      <c r="B377" s="428">
        <f t="shared" si="11"/>
        <v>53328</v>
      </c>
      <c r="C377" s="429">
        <f t="shared" si="19"/>
        <v>0</v>
      </c>
      <c r="D377" s="429">
        <f t="shared" si="12"/>
        <v>63364.835008488124</v>
      </c>
      <c r="E377" s="430">
        <f t="shared" si="13"/>
        <v>0</v>
      </c>
      <c r="F377" s="429">
        <f t="shared" si="14"/>
        <v>0</v>
      </c>
      <c r="G377" s="429">
        <f t="shared" si="15"/>
        <v>0</v>
      </c>
      <c r="H377" s="429">
        <f t="shared" si="17"/>
        <v>0</v>
      </c>
      <c r="I377" s="429">
        <f t="shared" si="16"/>
        <v>0</v>
      </c>
      <c r="J377" s="429">
        <f>SUM($H$18:$H377)</f>
        <v>6020621.5245244987</v>
      </c>
    </row>
  </sheetData>
  <mergeCells count="4">
    <mergeCell ref="C12:D12"/>
    <mergeCell ref="F4:H4"/>
    <mergeCell ref="B4:D4"/>
    <mergeCell ref="A1:D1"/>
  </mergeCells>
  <pageMargins left="0.75" right="0.75" top="1" bottom="1" header="0.5" footer="0.5"/>
  <pageSetup scale="80" orientation="landscape"/>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Proforma 2</vt:lpstr>
      <vt:lpstr>Soft Costs 2</vt:lpstr>
      <vt:lpstr>Loan Amortization Schedule _2_</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Cavenaugh</dc:creator>
  <cp:lastModifiedBy>Anna Mackay</cp:lastModifiedBy>
  <cp:lastPrinted>2017-01-23T19:33:55Z</cp:lastPrinted>
  <dcterms:created xsi:type="dcterms:W3CDTF">2016-05-12T22:21:42Z</dcterms:created>
  <dcterms:modified xsi:type="dcterms:W3CDTF">2017-04-09T20:53:35Z</dcterms:modified>
</cp:coreProperties>
</file>