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Zeke\Dropbox\For BA\"/>
    </mc:Choice>
  </mc:AlternateContent>
  <bookViews>
    <workbookView xWindow="-14400" yWindow="1725" windowWidth="20730" windowHeight="11520" tabRatio="744"/>
  </bookViews>
  <sheets>
    <sheet name="Proforma" sheetId="10" r:id="rId1"/>
    <sheet name="Budget Final" sheetId="14" r:id="rId2"/>
    <sheet name="Schedule" sheetId="17" r:id="rId3"/>
    <sheet name="Material Takeoff" sheetId="15" r:id="rId4"/>
  </sheets>
  <definedNames>
    <definedName name="Baseboard_Schedule_1" localSheetId="3">'Material Takeoff'!$R$52:$S$71</definedName>
    <definedName name="Ceiling_Schedule_1" localSheetId="3">'Material Takeoff'!$I$68:$L$76</definedName>
    <definedName name="Countertop_Material_Takeoff_1" localSheetId="3">'Material Takeoff'!$AC$5:$AG$12</definedName>
    <definedName name="Curtain_Panel_Material_Takeoff" localSheetId="3">'Material Takeoff'!#REF!</definedName>
    <definedName name="Curtain_Panel_Material_Takeoff_1" localSheetId="3">'Material Takeoff'!$R$4:$U$48</definedName>
    <definedName name="Door_Schedule" localSheetId="3">'Material Takeoff'!$R$80:$Y$90</definedName>
    <definedName name="Floor_and_Deck_Schedule" localSheetId="3">'Material Takeoff'!$L$3:$M$7</definedName>
    <definedName name="Mullion_Schedule" localSheetId="3">'Material Takeoff'!$W$1:$X$4</definedName>
    <definedName name="Mullion_Schedule_1" localSheetId="3">'Material Takeoff'!$W$5:$X$136</definedName>
    <definedName name="New_Wall_Material_Takeoff_1" localSheetId="3">'Material Takeoff'!$F$3:$G$70</definedName>
    <definedName name="_xlnm.Print_Area" localSheetId="1">'Budget Final'!$B$1:$U$86</definedName>
    <definedName name="Railing_Schedule" localSheetId="3">'Material Takeoff'!$AD$18:$AD$29</definedName>
    <definedName name="Roof_Schedule_1" localSheetId="3">'Material Takeoff'!$F$64:$G$70</definedName>
    <definedName name="Structural_Beam_Framing_Schedule" localSheetId="3">'Material Takeoff'!$A$42:$B$61</definedName>
    <definedName name="Structural_Column_Schedule_1" localSheetId="3">'Material Takeoff'!$A$3:$B$81</definedName>
    <definedName name="Window_Schedule" localSheetId="3">'Material Takeoff'!$AC$34:$AF$45</definedName>
  </definedNames>
  <calcPr calcId="152511"/>
</workbook>
</file>

<file path=xl/calcChain.xml><?xml version="1.0" encoding="utf-8"?>
<calcChain xmlns="http://schemas.openxmlformats.org/spreadsheetml/2006/main">
  <c r="H32" i="14" l="1"/>
  <c r="O79" i="14" l="1"/>
  <c r="R83" i="14"/>
  <c r="R43" i="14"/>
  <c r="R40" i="14"/>
  <c r="R36" i="14"/>
  <c r="T36" i="14" s="1"/>
  <c r="R30" i="14"/>
  <c r="Q30" i="14" s="1"/>
  <c r="R24" i="14"/>
  <c r="R10" i="14"/>
  <c r="R56" i="14"/>
  <c r="Q56" i="14" s="1"/>
  <c r="R62" i="14"/>
  <c r="Q62" i="14" s="1"/>
  <c r="R64" i="14"/>
  <c r="Q64" i="14" s="1"/>
  <c r="R67" i="14"/>
  <c r="T67" i="14" s="1"/>
  <c r="R75" i="14"/>
  <c r="Q75" i="14" s="1"/>
  <c r="R79" i="14"/>
  <c r="R45" i="14"/>
  <c r="Q40" i="14"/>
  <c r="U81" i="14"/>
  <c r="U84" i="14" s="1"/>
  <c r="U85" i="14" s="1"/>
  <c r="J95" i="14"/>
  <c r="J97" i="14" s="1"/>
  <c r="M24" i="14"/>
  <c r="N25" i="14"/>
  <c r="I25" i="14"/>
  <c r="N15" i="14"/>
  <c r="N11" i="14"/>
  <c r="N78" i="14"/>
  <c r="N76" i="14"/>
  <c r="N71" i="14"/>
  <c r="N22" i="14"/>
  <c r="J24" i="14"/>
  <c r="T8" i="14"/>
  <c r="T70" i="14"/>
  <c r="T33" i="14"/>
  <c r="T27" i="14"/>
  <c r="T17" i="14"/>
  <c r="I11" i="14"/>
  <c r="Q3" i="14"/>
  <c r="Q8" i="14"/>
  <c r="T6" i="14"/>
  <c r="Q4" i="14"/>
  <c r="T4" i="14"/>
  <c r="S81" i="14"/>
  <c r="S84" i="14" s="1"/>
  <c r="I8" i="14"/>
  <c r="J9" i="14"/>
  <c r="M9" i="14" s="1"/>
  <c r="J75" i="14"/>
  <c r="N75" i="14" s="1"/>
  <c r="I78" i="14"/>
  <c r="M83" i="14"/>
  <c r="M82" i="14"/>
  <c r="M80" i="14"/>
  <c r="M77" i="14"/>
  <c r="M74" i="14"/>
  <c r="M73" i="14"/>
  <c r="M72" i="14"/>
  <c r="M69" i="14"/>
  <c r="M68" i="14"/>
  <c r="M66" i="14"/>
  <c r="M65" i="14"/>
  <c r="M63" i="14"/>
  <c r="M61" i="14"/>
  <c r="M60" i="14"/>
  <c r="M59" i="14"/>
  <c r="M58" i="14"/>
  <c r="M57" i="14"/>
  <c r="M55" i="14"/>
  <c r="M54" i="14"/>
  <c r="M53" i="14"/>
  <c r="M52" i="14"/>
  <c r="M51" i="14"/>
  <c r="M50" i="14"/>
  <c r="M49" i="14"/>
  <c r="M48" i="14"/>
  <c r="M47" i="14"/>
  <c r="M46" i="14"/>
  <c r="M44" i="14"/>
  <c r="M42" i="14"/>
  <c r="M41" i="14"/>
  <c r="M39" i="14"/>
  <c r="M38" i="14"/>
  <c r="M37" i="14"/>
  <c r="M35" i="14"/>
  <c r="M34" i="14"/>
  <c r="M32" i="14"/>
  <c r="M31" i="14"/>
  <c r="M29" i="14"/>
  <c r="M28" i="14"/>
  <c r="M26" i="14"/>
  <c r="M23" i="14"/>
  <c r="M21" i="14"/>
  <c r="M20" i="14"/>
  <c r="M19" i="14"/>
  <c r="M18" i="14"/>
  <c r="M16" i="14"/>
  <c r="M13" i="14"/>
  <c r="M12" i="14"/>
  <c r="M5" i="14"/>
  <c r="M4" i="14"/>
  <c r="M7" i="14"/>
  <c r="L81" i="14"/>
  <c r="L84" i="14" s="1"/>
  <c r="G8" i="14"/>
  <c r="R25" i="14"/>
  <c r="O10" i="14"/>
  <c r="Q6" i="14"/>
  <c r="Q33" i="14"/>
  <c r="Q43" i="14"/>
  <c r="Q26" i="14"/>
  <c r="Q69" i="14"/>
  <c r="Q67" i="14" s="1"/>
  <c r="Q36" i="14" l="1"/>
  <c r="T81" i="14"/>
  <c r="T84" i="14" s="1"/>
  <c r="U86" i="14"/>
  <c r="R81" i="14"/>
  <c r="R84" i="14" s="1"/>
  <c r="R87" i="14" s="1"/>
  <c r="Q10" i="14"/>
  <c r="N24" i="14"/>
  <c r="J10" i="14"/>
  <c r="N10" i="14" s="1"/>
  <c r="N81" i="14" s="1"/>
  <c r="S85" i="14"/>
  <c r="S86" i="14" s="1"/>
  <c r="Q79" i="14"/>
  <c r="N117" i="15"/>
  <c r="N115" i="15" l="1"/>
  <c r="O119" i="15" l="1"/>
  <c r="K113" i="15" l="1"/>
  <c r="N114" i="15" l="1"/>
  <c r="N122" i="15" s="1"/>
  <c r="P108" i="15"/>
  <c r="P107" i="15"/>
  <c r="P105" i="15"/>
  <c r="N113" i="15"/>
  <c r="R108" i="15"/>
  <c r="R107" i="15"/>
  <c r="R106" i="15"/>
  <c r="R105" i="15"/>
  <c r="R104" i="15"/>
  <c r="R103" i="15"/>
  <c r="R102" i="15"/>
  <c r="R101" i="15"/>
  <c r="R109" i="15" s="1"/>
  <c r="R110" i="15" s="1"/>
  <c r="R111" i="15" s="1"/>
  <c r="P83" i="14" l="1"/>
  <c r="O25" i="14"/>
  <c r="O24" i="14" s="1"/>
  <c r="Q24" i="14" s="1"/>
  <c r="K21" i="14"/>
  <c r="K20" i="14"/>
  <c r="K55" i="14"/>
  <c r="I52" i="14"/>
  <c r="I16" i="14"/>
  <c r="I77" i="14"/>
  <c r="K52" i="14"/>
  <c r="H75" i="14"/>
  <c r="K78" i="14"/>
  <c r="H70" i="14"/>
  <c r="I76" i="14"/>
  <c r="O81" i="14" l="1"/>
  <c r="O84" i="14" s="1"/>
  <c r="Q25" i="14"/>
  <c r="P25" i="14"/>
  <c r="P79" i="14"/>
  <c r="G130" i="15"/>
  <c r="K73" i="14" l="1"/>
  <c r="F68" i="14"/>
  <c r="I68" i="14" s="1"/>
  <c r="F69" i="14"/>
  <c r="I69" i="14" s="1"/>
  <c r="I65" i="14"/>
  <c r="K65" i="14" s="1"/>
  <c r="I66" i="14"/>
  <c r="K66" i="14" s="1"/>
  <c r="D63" i="14"/>
  <c r="H63" i="14" s="1"/>
  <c r="I57" i="14"/>
  <c r="K57" i="14" s="1"/>
  <c r="H58" i="14"/>
  <c r="I58" i="14" s="1"/>
  <c r="K58" i="14" s="1"/>
  <c r="I59" i="14"/>
  <c r="K59" i="14" s="1"/>
  <c r="H60" i="14"/>
  <c r="I61" i="14"/>
  <c r="K61" i="14" s="1"/>
  <c r="F46" i="14"/>
  <c r="H46" i="14"/>
  <c r="F47" i="14"/>
  <c r="H47" i="14"/>
  <c r="F48" i="14"/>
  <c r="H48" i="14"/>
  <c r="F49" i="14"/>
  <c r="H49" i="14"/>
  <c r="F50" i="14"/>
  <c r="H50" i="14"/>
  <c r="F51" i="14"/>
  <c r="I51" i="14" s="1"/>
  <c r="F53" i="14"/>
  <c r="I53" i="14" s="1"/>
  <c r="K53" i="14" s="1"/>
  <c r="F54" i="14"/>
  <c r="H54" i="14"/>
  <c r="F43" i="14"/>
  <c r="H44" i="14"/>
  <c r="H43" i="14" s="1"/>
  <c r="D42" i="14"/>
  <c r="H42" i="14" s="1"/>
  <c r="F37" i="14"/>
  <c r="F34" i="14"/>
  <c r="H34" i="14"/>
  <c r="D35" i="14"/>
  <c r="H35" i="14" s="1"/>
  <c r="K32" i="14"/>
  <c r="K25" i="14"/>
  <c r="F26" i="14"/>
  <c r="H26" i="14"/>
  <c r="F11" i="14"/>
  <c r="F10" i="14" s="1"/>
  <c r="I12" i="14"/>
  <c r="K12" i="14" s="1"/>
  <c r="I13" i="14"/>
  <c r="K15" i="14"/>
  <c r="K16" i="14"/>
  <c r="D19" i="14"/>
  <c r="F22" i="14"/>
  <c r="I23" i="14"/>
  <c r="K23" i="14" s="1"/>
  <c r="F7" i="14"/>
  <c r="I7" i="14" s="1"/>
  <c r="K7" i="14" s="1"/>
  <c r="K6" i="14" s="1"/>
  <c r="H4" i="14"/>
  <c r="I4" i="14" s="1"/>
  <c r="K4" i="14" s="1"/>
  <c r="K5" i="14"/>
  <c r="F75" i="14"/>
  <c r="H64" i="14"/>
  <c r="I64" i="14" s="1"/>
  <c r="P64" i="14" s="1"/>
  <c r="F56" i="14"/>
  <c r="I82" i="14"/>
  <c r="K82" i="14" s="1"/>
  <c r="P82" i="14" s="1"/>
  <c r="J67" i="14"/>
  <c r="M67" i="14" s="1"/>
  <c r="J64" i="14"/>
  <c r="M64" i="14" s="1"/>
  <c r="J62" i="14"/>
  <c r="M62" i="14" s="1"/>
  <c r="J56" i="14"/>
  <c r="J45" i="14"/>
  <c r="J43" i="14"/>
  <c r="M43" i="14" s="1"/>
  <c r="J40" i="14"/>
  <c r="J36" i="14"/>
  <c r="M36" i="14" s="1"/>
  <c r="J33" i="14"/>
  <c r="M33" i="14" s="1"/>
  <c r="J30" i="14"/>
  <c r="M30" i="14" s="1"/>
  <c r="J27" i="14"/>
  <c r="J17" i="14"/>
  <c r="N17" i="14" s="1"/>
  <c r="J8" i="14"/>
  <c r="J6" i="14"/>
  <c r="M6" i="14" s="1"/>
  <c r="J3" i="14"/>
  <c r="I119" i="15"/>
  <c r="I120" i="15"/>
  <c r="I122" i="15"/>
  <c r="I113" i="15"/>
  <c r="I114" i="15"/>
  <c r="I115" i="15"/>
  <c r="G116" i="15"/>
  <c r="I116" i="15" s="1"/>
  <c r="I117" i="15"/>
  <c r="I118" i="15"/>
  <c r="I121" i="15"/>
  <c r="J13" i="15"/>
  <c r="D41" i="14" s="1"/>
  <c r="S72" i="15"/>
  <c r="S73" i="15" s="1"/>
  <c r="D39" i="14" s="1"/>
  <c r="AD14" i="15"/>
  <c r="D31" i="14" s="1"/>
  <c r="AD13" i="15"/>
  <c r="G26" i="15"/>
  <c r="G58" i="15" s="1"/>
  <c r="G33" i="15"/>
  <c r="G59" i="15" s="1"/>
  <c r="G109" i="15"/>
  <c r="I109" i="15" s="1"/>
  <c r="I94" i="15"/>
  <c r="I95" i="15"/>
  <c r="G96" i="15"/>
  <c r="I96" i="15" s="1"/>
  <c r="G97" i="15"/>
  <c r="I97" i="15" s="1"/>
  <c r="G98" i="15"/>
  <c r="I98" i="15" s="1"/>
  <c r="I99" i="15"/>
  <c r="I100" i="15"/>
  <c r="I101" i="15"/>
  <c r="G102" i="15"/>
  <c r="I102" i="15" s="1"/>
  <c r="I103" i="15"/>
  <c r="D82" i="15"/>
  <c r="D83" i="15"/>
  <c r="D84" i="15"/>
  <c r="C85" i="15"/>
  <c r="D85" i="15" s="1"/>
  <c r="C86" i="15"/>
  <c r="D86" i="15" s="1"/>
  <c r="D90" i="15"/>
  <c r="D91" i="15"/>
  <c r="I86" i="15"/>
  <c r="K18" i="14" s="1"/>
  <c r="C13" i="10"/>
  <c r="F40" i="10"/>
  <c r="C5" i="10" s="1"/>
  <c r="F53" i="10"/>
  <c r="C6" i="10" s="1"/>
  <c r="C11" i="10"/>
  <c r="Z90" i="15"/>
  <c r="Z91" i="15" s="1"/>
  <c r="G71" i="15"/>
  <c r="G14" i="15"/>
  <c r="AD30" i="15"/>
  <c r="AA72" i="15"/>
  <c r="S49" i="15"/>
  <c r="N6" i="15"/>
  <c r="N5" i="15"/>
  <c r="M7" i="15"/>
  <c r="B92" i="15"/>
  <c r="B87" i="15"/>
  <c r="D14" i="14" s="1"/>
  <c r="G77" i="15"/>
  <c r="D97" i="15"/>
  <c r="D96" i="15"/>
  <c r="I84" i="15"/>
  <c r="I85" i="15"/>
  <c r="I83" i="15"/>
  <c r="I87" i="15" s="1"/>
  <c r="I82" i="15"/>
  <c r="G55" i="15"/>
  <c r="G60" i="15" s="1"/>
  <c r="G41" i="15"/>
  <c r="D104" i="15"/>
  <c r="D103" i="15"/>
  <c r="D102" i="15"/>
  <c r="D101" i="15"/>
  <c r="I4" i="10"/>
  <c r="I14" i="10" s="1"/>
  <c r="C16" i="10"/>
  <c r="B51" i="10"/>
  <c r="B52" i="10" s="1"/>
  <c r="B50" i="10"/>
  <c r="B37" i="10"/>
  <c r="C10" i="10" l="1"/>
  <c r="C14" i="10" s="1"/>
  <c r="J102" i="15"/>
  <c r="F67" i="14"/>
  <c r="F24" i="14"/>
  <c r="D98" i="15"/>
  <c r="H45" i="14"/>
  <c r="F45" i="14"/>
  <c r="I126" i="15"/>
  <c r="K76" i="14" s="1"/>
  <c r="H3" i="14"/>
  <c r="I44" i="14"/>
  <c r="K44" i="14" s="1"/>
  <c r="K43" i="14" s="1"/>
  <c r="I37" i="14"/>
  <c r="K37" i="14" s="1"/>
  <c r="I49" i="14"/>
  <c r="K49" i="14" s="1"/>
  <c r="H56" i="14"/>
  <c r="I56" i="14" s="1"/>
  <c r="P56" i="14" s="1"/>
  <c r="K22" i="14"/>
  <c r="I38" i="14"/>
  <c r="K38" i="14" s="1"/>
  <c r="I54" i="14"/>
  <c r="K54" i="14" s="1"/>
  <c r="I47" i="14"/>
  <c r="K47" i="14" s="1"/>
  <c r="H33" i="14"/>
  <c r="F6" i="14"/>
  <c r="I6" i="14" s="1"/>
  <c r="P6" i="14" s="1"/>
  <c r="G61" i="15"/>
  <c r="F3" i="14"/>
  <c r="K74" i="14"/>
  <c r="C15" i="10"/>
  <c r="C19" i="10" s="1"/>
  <c r="C20" i="10" s="1"/>
  <c r="D92" i="15"/>
  <c r="I127" i="15"/>
  <c r="K77" i="14" s="1"/>
  <c r="I26" i="14"/>
  <c r="P26" i="14" s="1"/>
  <c r="F70" i="14"/>
  <c r="I70" i="14" s="1"/>
  <c r="P70" i="14" s="1"/>
  <c r="H8" i="14"/>
  <c r="K13" i="14"/>
  <c r="I46" i="14"/>
  <c r="K46" i="14" s="1"/>
  <c r="J70" i="14"/>
  <c r="N70" i="14" s="1"/>
  <c r="H62" i="14"/>
  <c r="D87" i="15"/>
  <c r="I14" i="14" s="1"/>
  <c r="K14" i="14" s="1"/>
  <c r="H41" i="14"/>
  <c r="H40" i="14" s="1"/>
  <c r="F41" i="14"/>
  <c r="D105" i="15"/>
  <c r="I105" i="15"/>
  <c r="J14" i="15"/>
  <c r="D29" i="14" s="1"/>
  <c r="H24" i="14"/>
  <c r="I60" i="14"/>
  <c r="K60" i="14" s="1"/>
  <c r="K56" i="14" s="1"/>
  <c r="F63" i="14"/>
  <c r="F62" i="14" s="1"/>
  <c r="K64" i="14"/>
  <c r="K72" i="14"/>
  <c r="F8" i="14"/>
  <c r="K51" i="14"/>
  <c r="G108" i="15"/>
  <c r="G110" i="15" s="1"/>
  <c r="D28" i="14" s="1"/>
  <c r="F17" i="14"/>
  <c r="K71" i="14"/>
  <c r="K3" i="14"/>
  <c r="K9" i="14"/>
  <c r="I34" i="14"/>
  <c r="K34" i="14" s="1"/>
  <c r="I50" i="14"/>
  <c r="K50" i="14" s="1"/>
  <c r="I48" i="14"/>
  <c r="K48" i="14" s="1"/>
  <c r="K68" i="14"/>
  <c r="F31" i="14"/>
  <c r="I124" i="15"/>
  <c r="H17" i="14"/>
  <c r="H36" i="14"/>
  <c r="I43" i="14"/>
  <c r="P43" i="14" s="1"/>
  <c r="B54" i="10"/>
  <c r="B55" i="10" s="1"/>
  <c r="F35" i="14"/>
  <c r="F42" i="14"/>
  <c r="I42" i="14" s="1"/>
  <c r="J81" i="14" l="1"/>
  <c r="J84" i="14" s="1"/>
  <c r="K8" i="14"/>
  <c r="P8" i="14"/>
  <c r="I108" i="15"/>
  <c r="I110" i="15" s="1"/>
  <c r="K26" i="14"/>
  <c r="K24" i="14" s="1"/>
  <c r="I24" i="14"/>
  <c r="H10" i="14"/>
  <c r="I10" i="14" s="1"/>
  <c r="P10" i="14" s="1"/>
  <c r="I45" i="14"/>
  <c r="P45" i="14" s="1"/>
  <c r="K75" i="14"/>
  <c r="H30" i="14"/>
  <c r="I3" i="14"/>
  <c r="I19" i="14"/>
  <c r="K19" i="14" s="1"/>
  <c r="K17" i="14" s="1"/>
  <c r="I75" i="14"/>
  <c r="P75" i="14" s="1"/>
  <c r="I17" i="14"/>
  <c r="P17" i="14" s="1"/>
  <c r="F40" i="14"/>
  <c r="I40" i="14" s="1"/>
  <c r="P40" i="14" s="1"/>
  <c r="K70" i="14"/>
  <c r="K45" i="14"/>
  <c r="K42" i="14"/>
  <c r="I63" i="14"/>
  <c r="K63" i="14" s="1"/>
  <c r="F29" i="14"/>
  <c r="H29" i="14"/>
  <c r="I62" i="14"/>
  <c r="P62" i="14" s="1"/>
  <c r="I41" i="14"/>
  <c r="K41" i="14" s="1"/>
  <c r="F30" i="14"/>
  <c r="I31" i="14"/>
  <c r="K31" i="14" s="1"/>
  <c r="H28" i="14"/>
  <c r="F28" i="14"/>
  <c r="I39" i="14"/>
  <c r="K39" i="14" s="1"/>
  <c r="K36" i="14" s="1"/>
  <c r="F36" i="14"/>
  <c r="I36" i="14" s="1"/>
  <c r="P36" i="14" s="1"/>
  <c r="I35" i="14"/>
  <c r="K35" i="14" s="1"/>
  <c r="K33" i="14" s="1"/>
  <c r="F33" i="14"/>
  <c r="I33" i="14" s="1"/>
  <c r="P33" i="14" s="1"/>
  <c r="M81" i="14" l="1"/>
  <c r="M84" i="14" s="1"/>
  <c r="P3" i="14"/>
  <c r="K62" i="14"/>
  <c r="I30" i="14"/>
  <c r="P30" i="14" s="1"/>
  <c r="I29" i="14"/>
  <c r="K29" i="14" s="1"/>
  <c r="H27" i="14"/>
  <c r="K30" i="14"/>
  <c r="K40" i="14"/>
  <c r="K11" i="14"/>
  <c r="K10" i="14" s="1"/>
  <c r="F27" i="14"/>
  <c r="I28" i="14"/>
  <c r="K28" i="14" s="1"/>
  <c r="I27" i="14" l="1"/>
  <c r="P27" i="14" s="1"/>
  <c r="K27" i="14"/>
  <c r="F81" i="14"/>
  <c r="K83" i="14" l="1"/>
  <c r="H67" i="14" l="1"/>
  <c r="H81" i="14" s="1"/>
  <c r="K69" i="14"/>
  <c r="K67" i="14" s="1"/>
  <c r="K81" i="14" s="1"/>
  <c r="K84" i="14" s="1"/>
  <c r="I67" i="14" l="1"/>
  <c r="P67" i="14" s="1"/>
  <c r="I81" i="14" l="1"/>
  <c r="I84" i="14" s="1"/>
  <c r="P69" i="14"/>
  <c r="I86" i="14" l="1"/>
  <c r="P81" i="14"/>
  <c r="P24" i="14"/>
  <c r="P84" i="14" l="1"/>
  <c r="Q45" i="14"/>
  <c r="T85" i="14" l="1"/>
  <c r="T86" i="14" s="1"/>
  <c r="R85" i="14"/>
  <c r="R86" i="14" s="1"/>
  <c r="E56" i="14"/>
</calcChain>
</file>

<file path=xl/connections.xml><?xml version="1.0" encoding="utf-8"?>
<connections xmlns="http://schemas.openxmlformats.org/spreadsheetml/2006/main">
  <connection id="1" name="Baseboard Schedule" type="6" refreshedVersion="3" background="1" saveData="1">
    <textPr sourceFile="J:\Projects\Indian Hills-Navajo\Budget\Material Takeoff\Baseboard Schedule.txt">
      <textFields count="2">
        <textField/>
        <textField/>
      </textFields>
    </textPr>
  </connection>
  <connection id="2" name="Ceiling Schedule" type="6" refreshedVersion="3" background="1" saveData="1">
    <textPr sourceFile="J:\Projects\Indian Hills-Navajo\Budget\Material Takeoff\Ceiling Schedule.txt">
      <textFields count="2">
        <textField/>
        <textField/>
      </textFields>
    </textPr>
  </connection>
  <connection id="3" name="Countertop Material Takeoff" type="6" refreshedVersion="3" background="1" saveData="1">
    <textPr sourceFile="J:\Projects\Indian Hills-Navajo\Budget\Material Takeoff\Countertop Material Takeoff.txt">
      <textFields count="5">
        <textField/>
        <textField/>
        <textField/>
        <textField/>
        <textField/>
      </textFields>
    </textPr>
  </connection>
  <connection id="4" name="Curtain Panel Material Takeoff" type="6" refreshedVersion="3" background="1">
    <textPr sourceFile="J:\Projects\Indian Hills-Navajo\Budget\Material Takeoff\Curtain Panel Material Takeoff.txt">
      <textFields count="4">
        <textField/>
        <textField/>
        <textField/>
        <textField/>
      </textFields>
    </textPr>
  </connection>
  <connection id="5" name="Curtain Panel Material Takeoff1" type="6" refreshedVersion="3" background="1" saveData="1">
    <textPr sourceFile="J:\Projects\Indian Hills-Navajo\Budget\Material Takeoff\Curtain Panel Material Takeoff.txt">
      <textFields count="4">
        <textField/>
        <textField/>
        <textField/>
        <textField/>
      </textFields>
    </textPr>
  </connection>
  <connection id="6" name="Door Schedule" type="6" refreshedVersion="3" background="1" saveData="1">
    <textPr sourceFile="J:\Projects\Indian Hills-Navajo\Budget\Material Takeoff\Door Schedule.txt">
      <textFields count="8">
        <textField/>
        <textField/>
        <textField/>
        <textField/>
        <textField/>
        <textField/>
        <textField/>
        <textField/>
      </textFields>
    </textPr>
  </connection>
  <connection id="7" name="Floor and Deck Schedule" type="6" refreshedVersion="3" background="1" saveData="1">
    <textPr sourceFile="J:\Projects\Indian Hills-Navajo\Budget\Material Takeoff\Floor and Deck Schedule.txt">
      <textFields count="2">
        <textField/>
        <textField/>
      </textFields>
    </textPr>
  </connection>
  <connection id="8" name="Mullion Schedule" type="6" refreshedVersion="3" background="1" saveData="1">
    <textPr sourceFile="J:\Projects\Indian Hills-Navajo\Budget\Material Takeoff\Mullion Schedule.txt">
      <textFields count="2">
        <textField/>
        <textField/>
      </textFields>
    </textPr>
  </connection>
  <connection id="9" name="Mullion Schedule1" type="6" refreshedVersion="3" background="1" saveData="1">
    <textPr sourceFile="J:\Projects\Indian Hills-Navajo\Budget\Material Takeoff\Mullion Schedule.txt">
      <textFields count="2">
        <textField/>
        <textField/>
      </textFields>
    </textPr>
  </connection>
  <connection id="10" name="New Wall Material Takeoff" type="6" refreshedVersion="3" background="1" saveData="1">
    <textPr sourceFile="J:\Projects\Indian Hills-Navajo\Budget\Material Takeoff\New Wall Material Takeoff.txt">
      <textFields count="2">
        <textField/>
        <textField/>
      </textFields>
    </textPr>
  </connection>
  <connection id="11" name="Railing Schedule" type="6" refreshedVersion="3" background="1" saveData="1">
    <textPr sourceFile="J:\Projects\Indian Hills-Navajo\Budget\Material Takeoff\Railing Schedule.txt">
      <textFields>
        <textField/>
      </textFields>
    </textPr>
  </connection>
  <connection id="12" name="Roof Schedule" type="6" refreshedVersion="3" background="1" saveData="1">
    <textPr sourceFile="J:\Projects\Indian Hills-Navajo\Budget\Material Takeoff\Roof Schedule.txt">
      <textFields count="2">
        <textField/>
        <textField/>
      </textFields>
    </textPr>
  </connection>
  <connection id="13" name="Structural Beam Framing Schedule" type="6" refreshedVersion="3" background="1" saveData="1">
    <textPr sourceFile="J:\Projects\Indian Hills-Navajo\Budget\Material Takeoff\Structural Beam Framing Schedule.txt">
      <textFields count="2">
        <textField/>
        <textField/>
      </textFields>
    </textPr>
  </connection>
  <connection id="14" name="Structural Column Schedule" type="6" refreshedVersion="3" background="1" saveData="1">
    <textPr sourceFile="J:\Projects\Indian Hills-Navajo\Budget\Material Takeoff\Structural Column Schedule.txt">
      <textFields count="2">
        <textField/>
        <textField/>
      </textFields>
    </textPr>
  </connection>
  <connection id="15" name="Window Schedule" type="6" refreshedVersion="3" background="1" saveData="1">
    <textPr sourceFile="J:\Projects\Indian Hills-Navajo\Budget\Material Takeoff\Window Schedul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<sst xmlns="http://schemas.openxmlformats.org/spreadsheetml/2006/main" count="1333" uniqueCount="484">
  <si>
    <t>Drywall</t>
  </si>
  <si>
    <t>Cabinets</t>
  </si>
  <si>
    <t>Tile</t>
  </si>
  <si>
    <t>Electrical</t>
  </si>
  <si>
    <t>Plumbing</t>
  </si>
  <si>
    <t>Dishwasher</t>
  </si>
  <si>
    <t>Glass</t>
  </si>
  <si>
    <t>Total</t>
  </si>
  <si>
    <t>Labor</t>
  </si>
  <si>
    <t>Excavation</t>
  </si>
  <si>
    <t>Concrete</t>
  </si>
  <si>
    <t>Roofing</t>
  </si>
  <si>
    <t>Walls</t>
  </si>
  <si>
    <t>Contingency</t>
  </si>
  <si>
    <t>Landscaping</t>
  </si>
  <si>
    <t>Hardwoods</t>
  </si>
  <si>
    <t>Appliances</t>
  </si>
  <si>
    <t>Area</t>
  </si>
  <si>
    <t>Purchase Price</t>
  </si>
  <si>
    <t>Closing Cost</t>
  </si>
  <si>
    <t>Prepaid Items</t>
  </si>
  <si>
    <t>Renovation</t>
  </si>
  <si>
    <t>Appraisal</t>
  </si>
  <si>
    <t>Mortgage amount</t>
  </si>
  <si>
    <t>PMIT</t>
  </si>
  <si>
    <t>ARV Sell price</t>
  </si>
  <si>
    <t>Profit</t>
  </si>
  <si>
    <t>Walk away cash</t>
  </si>
  <si>
    <t>Down Payment  (3.5%) (Total cash invested)</t>
  </si>
  <si>
    <t>Garage</t>
  </si>
  <si>
    <t>Cost</t>
  </si>
  <si>
    <t>Item</t>
  </si>
  <si>
    <t>Processing</t>
  </si>
  <si>
    <t>Supplemental Origination</t>
  </si>
  <si>
    <t xml:space="preserve">Appraisal </t>
  </si>
  <si>
    <t>Up Front Mortgage Insurance</t>
  </si>
  <si>
    <t>Credit Report</t>
  </si>
  <si>
    <t>Title Closing Fee</t>
  </si>
  <si>
    <t>Title Insurance</t>
  </si>
  <si>
    <t>HUD Consultant</t>
  </si>
  <si>
    <t>Flood Certification</t>
  </si>
  <si>
    <t>Recording Fee</t>
  </si>
  <si>
    <t>State Tax Stamp</t>
  </si>
  <si>
    <t>Total Closing Cost</t>
  </si>
  <si>
    <t>Inspection</t>
  </si>
  <si>
    <t>Additional Items added to Loan</t>
  </si>
  <si>
    <t>Mortgage Insurance</t>
  </si>
  <si>
    <t>Total Closing and Prepaid Items</t>
  </si>
  <si>
    <t>(Items  to covered by seller concession)</t>
  </si>
  <si>
    <t>Purchase Price ( 175K plus closing and prepaid items)</t>
  </si>
  <si>
    <t xml:space="preserve">Taxes (4 Months) </t>
  </si>
  <si>
    <t>1st Year Premium Insurance + 3 months</t>
  </si>
  <si>
    <t xml:space="preserve"> </t>
  </si>
  <si>
    <t>Tax service fee</t>
  </si>
  <si>
    <t>QTY</t>
  </si>
  <si>
    <t>Material Total</t>
  </si>
  <si>
    <t>Roll Out (disposal)</t>
  </si>
  <si>
    <t>Demolition (man/days)</t>
  </si>
  <si>
    <t>Professional Services</t>
  </si>
  <si>
    <t>Engineering</t>
  </si>
  <si>
    <t>Framing</t>
  </si>
  <si>
    <t>Exterior Deck Framing (SF)</t>
  </si>
  <si>
    <t>Windows</t>
  </si>
  <si>
    <t>Interior Doors</t>
  </si>
  <si>
    <t xml:space="preserve">Exterior Door </t>
  </si>
  <si>
    <t>Walls and Ceilings (Hang Tape Mud per sheet)</t>
  </si>
  <si>
    <t>Walls and Ceilings (Texture per sheet)</t>
  </si>
  <si>
    <t>Uppers (LF)</t>
  </si>
  <si>
    <t>Lowers (LF)</t>
  </si>
  <si>
    <t xml:space="preserve">Finish Carpentry </t>
  </si>
  <si>
    <t>Window Trim and Casing (per window)</t>
  </si>
  <si>
    <t>Door Trim and Casing (per door)</t>
  </si>
  <si>
    <t>Baseboards (LF)</t>
  </si>
  <si>
    <t>Paint</t>
  </si>
  <si>
    <t>Mechanical</t>
  </si>
  <si>
    <t>Hardwood Floor</t>
  </si>
  <si>
    <t>Venta-hood</t>
  </si>
  <si>
    <t>Roof &amp; Gutters</t>
  </si>
  <si>
    <t xml:space="preserve">Total </t>
  </si>
  <si>
    <t>Roof Schedule</t>
  </si>
  <si>
    <t>Seller Concession</t>
  </si>
  <si>
    <t>Kitchen and Appliances</t>
  </si>
  <si>
    <t>Deck</t>
  </si>
  <si>
    <t>Fence</t>
  </si>
  <si>
    <t>Floor</t>
  </si>
  <si>
    <t xml:space="preserve">Paint and trim </t>
  </si>
  <si>
    <t>1 month carrying cost</t>
  </si>
  <si>
    <t>15 days Interest</t>
  </si>
  <si>
    <t>Origination charge</t>
  </si>
  <si>
    <t>Flood Life of Loan fee</t>
  </si>
  <si>
    <t>Title Ins Lend Cov</t>
  </si>
  <si>
    <t>Endorsemet-Env Lien</t>
  </si>
  <si>
    <t>Closing/Escrow/Settlement</t>
  </si>
  <si>
    <t xml:space="preserve">Endorsment To title </t>
  </si>
  <si>
    <t>Closing Protection Ltr</t>
  </si>
  <si>
    <t>Recording Fee Mrtg/Dot</t>
  </si>
  <si>
    <t>Recording Fee Deed</t>
  </si>
  <si>
    <t>State Tax Stamp Deed</t>
  </si>
  <si>
    <t>Courier/Msngr</t>
  </si>
  <si>
    <t>FHA Upfront MIP</t>
  </si>
  <si>
    <t>Total Closing</t>
  </si>
  <si>
    <t>Closing Cost/Previous</t>
  </si>
  <si>
    <t>Closing Cost Dec 13</t>
  </si>
  <si>
    <t>Prepaid Items/Previous</t>
  </si>
  <si>
    <t>Aggregrate Adjustment</t>
  </si>
  <si>
    <t xml:space="preserve">Total closing and prepaid </t>
  </si>
  <si>
    <t>Total Cash to close</t>
  </si>
  <si>
    <t>6% closing and commision</t>
  </si>
  <si>
    <t xml:space="preserve">1246 total sf, 2 bed 1 bath, 1956 </t>
  </si>
  <si>
    <t>500 sf Addition</t>
  </si>
  <si>
    <t xml:space="preserve"> Guest Bath</t>
  </si>
  <si>
    <t>Shop floor/and lights</t>
  </si>
  <si>
    <t>ww</t>
  </si>
  <si>
    <t>Structural Column Schedule</t>
  </si>
  <si>
    <t>Family and Type</t>
  </si>
  <si>
    <t>Length</t>
  </si>
  <si>
    <t>Dimension Lumber-Column: 6x6</t>
  </si>
  <si>
    <t>13' - 0"</t>
  </si>
  <si>
    <t>14' - 0"</t>
  </si>
  <si>
    <t>14' - 10"</t>
  </si>
  <si>
    <t>9' - 6"</t>
  </si>
  <si>
    <t>11' - 6"</t>
  </si>
  <si>
    <t>23' - 7"</t>
  </si>
  <si>
    <t>6' - 0"</t>
  </si>
  <si>
    <t>17' - 11 29/32"</t>
  </si>
  <si>
    <t>5' - 1"</t>
  </si>
  <si>
    <t>8' - 0"</t>
  </si>
  <si>
    <t>Board Size</t>
  </si>
  <si>
    <t>6x6x8</t>
  </si>
  <si>
    <t>6x6x10</t>
  </si>
  <si>
    <t>6x6x12</t>
  </si>
  <si>
    <t>6x6x14</t>
  </si>
  <si>
    <t>6x6x16</t>
  </si>
  <si>
    <t>PUMP PADS AND PILASTERS</t>
  </si>
  <si>
    <t>Cost/per</t>
  </si>
  <si>
    <t>16''X16''X4' PILASTERS</t>
  </si>
  <si>
    <t>30''X30''X12'' CONC PADS</t>
  </si>
  <si>
    <t>Deck Drilled Piers</t>
  </si>
  <si>
    <t>Addition Column 30''X30''X12'' CONC PAD w/ 16"x16" x 4' Pilasters</t>
  </si>
  <si>
    <t>Material: Area</t>
  </si>
  <si>
    <t>2' - 1"</t>
  </si>
  <si>
    <t>Basic Wall: Exterior- 5.25"-Mp-6WS-GP</t>
  </si>
  <si>
    <t>7' - 6 1/2"</t>
  </si>
  <si>
    <t>Basic Wall: Exterior- 5.25"-WS-4WS-GP</t>
  </si>
  <si>
    <t>Basic Wall: Interior - PAR/1-312-1</t>
  </si>
  <si>
    <t>Treated  Columns</t>
  </si>
  <si>
    <t>Concrete Pads</t>
  </si>
  <si>
    <t>Column Brackets</t>
  </si>
  <si>
    <t>Column Hardware</t>
  </si>
  <si>
    <t>Wall Schedule</t>
  </si>
  <si>
    <t>Basic Wall: Foundation - BWG - 8CC</t>
  </si>
  <si>
    <t>Mp-tyvek-1/2" plywd-6WS--6" batt - 1/2" GP</t>
  </si>
  <si>
    <t>WS-tyvek-1/2" plywd-4WS-GP</t>
  </si>
  <si>
    <t>6x6 Column Bases</t>
  </si>
  <si>
    <t>1/2" x4x8 plywood sheathing</t>
  </si>
  <si>
    <t>2x8x8 Header</t>
  </si>
  <si>
    <t xml:space="preserve">2x6x8 </t>
  </si>
  <si>
    <t xml:space="preserve">2x6x10 </t>
  </si>
  <si>
    <t>Fiberglass Insulation (SF)</t>
  </si>
  <si>
    <t>J-trim- 8ft</t>
  </si>
  <si>
    <t>Nails,glue, etc</t>
  </si>
  <si>
    <t>Cost Per</t>
  </si>
  <si>
    <t>Total x1.10</t>
  </si>
  <si>
    <t>Metal Panel</t>
  </si>
  <si>
    <t>2x4x8</t>
  </si>
  <si>
    <t xml:space="preserve">Tyvek House Wrap </t>
  </si>
  <si>
    <t>155 per 150 sf</t>
  </si>
  <si>
    <t>Drywall Sheets/tape/mud/screws</t>
  </si>
  <si>
    <t>3" Stone on 1/2" plywd on 3 1/2 WS</t>
  </si>
  <si>
    <t xml:space="preserve">See through fire place and flue </t>
  </si>
  <si>
    <t>Built in Gas Grill</t>
  </si>
  <si>
    <t>Fireplace and outdoor Kitchen</t>
  </si>
  <si>
    <t>Structural Beam Framing Schedule</t>
  </si>
  <si>
    <t>Timber: 6x8</t>
  </si>
  <si>
    <t>6' - 2"</t>
  </si>
  <si>
    <t>31' - 1"</t>
  </si>
  <si>
    <t>10' - 1 3/8"</t>
  </si>
  <si>
    <t>23' - 2"</t>
  </si>
  <si>
    <t>Timber: 6x8x8</t>
  </si>
  <si>
    <t>Timber: 6x8x12</t>
  </si>
  <si>
    <t>Treated  Beams</t>
  </si>
  <si>
    <t>Price</t>
  </si>
  <si>
    <t>Mp-tyvek-1/2" plywd-6WS--6" batt - 1/2" GP  (793 SF)</t>
  </si>
  <si>
    <t>WS-tyvek-1/2" plywd-4WS-GP (55SF)</t>
  </si>
  <si>
    <t>Interior - PAR/1-312-1 (330SF)</t>
  </si>
  <si>
    <t>BEAMS AND COLUMNS</t>
  </si>
  <si>
    <t>TOTALS</t>
  </si>
  <si>
    <t>2x10x24</t>
  </si>
  <si>
    <t xml:space="preserve">Roof </t>
  </si>
  <si>
    <t>T1-11 plywood</t>
  </si>
  <si>
    <t>1/2" OSB</t>
  </si>
  <si>
    <t>2x6x14</t>
  </si>
  <si>
    <t>2x8x18</t>
  </si>
  <si>
    <t>Tarpaper</t>
  </si>
  <si>
    <t>Grand total: 4</t>
  </si>
  <si>
    <t>Asphalt Shingles (1047SF)</t>
  </si>
  <si>
    <t>Metal Panel (390SF)</t>
  </si>
  <si>
    <t>Nails, flashing, gutter, fascia, etc</t>
  </si>
  <si>
    <t>Wood Siding patch</t>
  </si>
  <si>
    <t>WALLS, ROOF, and Fireplace</t>
  </si>
  <si>
    <t>Kitchen and bath</t>
  </si>
  <si>
    <t>Ceiling Schedule</t>
  </si>
  <si>
    <t>Compound Ceiling: GPDW</t>
  </si>
  <si>
    <t>Ceiling (712 sf)</t>
  </si>
  <si>
    <t>Walls (1507 sf)</t>
  </si>
  <si>
    <t>DOORS, WINDOWS AND IGU'S</t>
  </si>
  <si>
    <t>6x6 Column (see take off)</t>
  </si>
  <si>
    <t>6x6 Beams  (see take off)</t>
  </si>
  <si>
    <t>Deck Colums pre-bored holes  (LF)</t>
  </si>
  <si>
    <t>Column brackets (30),bases (14) and hardware</t>
  </si>
  <si>
    <t>FLOORS AND CEILINGS</t>
  </si>
  <si>
    <t>Floor and Deck Schedule</t>
  </si>
  <si>
    <t>Floor: 10" JOIST AND DECK_EXTER</t>
  </si>
  <si>
    <t>Floor: 10" JOIST AND SUBSTRATE</t>
  </si>
  <si>
    <t>Curtain Panel Material Takeoff</t>
  </si>
  <si>
    <t>Material: Name</t>
  </si>
  <si>
    <t>Height</t>
  </si>
  <si>
    <t>Width</t>
  </si>
  <si>
    <t>2' - 10 3/4"</t>
  </si>
  <si>
    <t>2' - 3 5/32"</t>
  </si>
  <si>
    <t>1' - 9"</t>
  </si>
  <si>
    <t>4' - 9 11/32"</t>
  </si>
  <si>
    <t>1' - 8 1/4"</t>
  </si>
  <si>
    <t>3' - 9"</t>
  </si>
  <si>
    <t>4' - 2 1/2"</t>
  </si>
  <si>
    <t>5' - 8"</t>
  </si>
  <si>
    <t>4' - 2 1/4"</t>
  </si>
  <si>
    <t>2' - 7 5/8"</t>
  </si>
  <si>
    <t>3' - 10"</t>
  </si>
  <si>
    <t>6' - 6"</t>
  </si>
  <si>
    <t>Grand total: 41</t>
  </si>
  <si>
    <t>Mullion Schedule</t>
  </si>
  <si>
    <t>Type</t>
  </si>
  <si>
    <t>2" x 4.5" rectangular</t>
  </si>
  <si>
    <t>TOTAL</t>
  </si>
  <si>
    <t>Total sf</t>
  </si>
  <si>
    <t>Total sheets</t>
  </si>
  <si>
    <t>3" Concrete Countertop (SF)</t>
  </si>
  <si>
    <t>Countertop Material Takeoff</t>
  </si>
  <si>
    <t>Depth</t>
  </si>
  <si>
    <t>Counter Top: 24" Depth</t>
  </si>
  <si>
    <t>Corian</t>
  </si>
  <si>
    <t>06 40 00-Counter Top: 36" Depth No Splash</t>
  </si>
  <si>
    <t>3' - 0"</t>
  </si>
  <si>
    <t>Floor Tile (SF)</t>
  </si>
  <si>
    <t>WD-BASE</t>
  </si>
  <si>
    <t>Existing Walls to be refinished</t>
  </si>
  <si>
    <t>Baseboard Schedule</t>
  </si>
  <si>
    <t>Interior (SF)</t>
  </si>
  <si>
    <t>Exterior Deck, Beams, and Soffit (SF)</t>
  </si>
  <si>
    <t>New Slab 4" slab (SF)</t>
  </si>
  <si>
    <t>Built in Shelving</t>
  </si>
  <si>
    <t xml:space="preserve">6" Rigid Insulation </t>
  </si>
  <si>
    <t>Uppers cabinets</t>
  </si>
  <si>
    <t>Total countertops and lower cabinets</t>
  </si>
  <si>
    <t>Used potbelly stove and pipes</t>
  </si>
  <si>
    <t>Railing Schedule 2</t>
  </si>
  <si>
    <t>Railings (LF)</t>
  </si>
  <si>
    <t>Windows &amp; Door Install</t>
  </si>
  <si>
    <t xml:space="preserve">Fence </t>
  </si>
  <si>
    <t>Fireplace box, and venting</t>
  </si>
  <si>
    <t>3" STONE 1/2" plywd -312 wd</t>
  </si>
  <si>
    <t>Fireplace framing and stone</t>
  </si>
  <si>
    <t>Outdoor kitchen concrete countertops (SF)</t>
  </si>
  <si>
    <t>Built in outdoor grill</t>
  </si>
  <si>
    <t>STONE Countertop base (SF)</t>
  </si>
  <si>
    <t>Fireplace and Outdoor Kitchen</t>
  </si>
  <si>
    <t>Wall Framing</t>
  </si>
  <si>
    <t>Basic Roof: Wood Rafter6" - Asphalt Shingle - Insulated 3</t>
  </si>
  <si>
    <t>Basic Roof: Wood Rafter 4" - Asphalt Shingle - Insulated</t>
  </si>
  <si>
    <t>Basic Roof: Wood Rafter 6" - Asphalt Shingle - Insulated 2</t>
  </si>
  <si>
    <t>Basic Roof: Wood Rafter 6" - Asphalt</t>
  </si>
  <si>
    <t>Roof Framing, insulation and deck (1388 SF)</t>
  </si>
  <si>
    <t>Composite shingles, gutter (1388 SF)</t>
  </si>
  <si>
    <t>Rough-Lights</t>
  </si>
  <si>
    <t>Rough-Outlets</t>
  </si>
  <si>
    <t>Light Fixtures (re ceiling plans)</t>
  </si>
  <si>
    <t>Shower Tile and shower pan  (200SF)</t>
  </si>
  <si>
    <t>Door Schedule</t>
  </si>
  <si>
    <t>Door #</t>
  </si>
  <si>
    <t xml:space="preserve">Location                           </t>
  </si>
  <si>
    <t>Leaves</t>
  </si>
  <si>
    <t>Comments</t>
  </si>
  <si>
    <t>Type Mark</t>
  </si>
  <si>
    <t>101A</t>
  </si>
  <si>
    <t>MASTER BEDROOM</t>
  </si>
  <si>
    <t>6' - 8"</t>
  </si>
  <si>
    <t>Biparting Sliding Door</t>
  </si>
  <si>
    <t>101B</t>
  </si>
  <si>
    <t>MASTER CLOSET</t>
  </si>
  <si>
    <t>SGL</t>
  </si>
  <si>
    <t>2' - 6"</t>
  </si>
  <si>
    <t>Closet Door</t>
  </si>
  <si>
    <t>101C</t>
  </si>
  <si>
    <t>MASTER BATH</t>
  </si>
  <si>
    <t>2' - 0"</t>
  </si>
  <si>
    <t>Bathroom locking door</t>
  </si>
  <si>
    <t>101D</t>
  </si>
  <si>
    <t>SHOWER/TUB</t>
  </si>
  <si>
    <t>Glass Shower Door</t>
  </si>
  <si>
    <t>101E</t>
  </si>
  <si>
    <t>Bedroom locking door</t>
  </si>
  <si>
    <t>VESTIBULE</t>
  </si>
  <si>
    <t>Entry Vestibule door</t>
  </si>
  <si>
    <t>Grand total: 7</t>
  </si>
  <si>
    <t>plus tax</t>
  </si>
  <si>
    <t>New  200 amp panel and meter combo</t>
  </si>
  <si>
    <t>Retention walls/Landscaping</t>
  </si>
  <si>
    <t>(Ext) wall patch and tooth in siding where window is to be removed (SF)</t>
  </si>
  <si>
    <t>(Int) wall (330 sf);  2x4 Framing (SF)</t>
  </si>
  <si>
    <t>Window Schedule</t>
  </si>
  <si>
    <t>Sill Height</t>
  </si>
  <si>
    <t>A</t>
  </si>
  <si>
    <t>3' - 3"</t>
  </si>
  <si>
    <t>2' - 9"</t>
  </si>
  <si>
    <t>2' - 3"</t>
  </si>
  <si>
    <t>4' - 3"</t>
  </si>
  <si>
    <t>3' - 3 1/2"</t>
  </si>
  <si>
    <t>4' - 11"</t>
  </si>
  <si>
    <t>2' - 5"</t>
  </si>
  <si>
    <t>1' - 6"</t>
  </si>
  <si>
    <t>Corian Countertops (LF) 44SF kitchen; 16 sf vanity</t>
  </si>
  <si>
    <t>Rough-Stove</t>
  </si>
  <si>
    <t>New duct line from existing heater or electric baseboard</t>
  </si>
  <si>
    <t>Garage utility sink and waterline</t>
  </si>
  <si>
    <t>1750 sf 2/2/1</t>
  </si>
  <si>
    <t xml:space="preserve">275K ARV </t>
  </si>
  <si>
    <t>Bank Credit</t>
  </si>
  <si>
    <t>(Ext) wall (847 SF)2x6 Framing,sheathing,insulation, tar paper, Mtpl;  (SF)</t>
  </si>
  <si>
    <t>Re-insulate Ceiling above (e) cabin</t>
  </si>
  <si>
    <t>Floor framing -  ICF</t>
  </si>
  <si>
    <t xml:space="preserve">HUD draw fees </t>
  </si>
  <si>
    <t>Gas pipe to Fireplace and Outdoor grill (~25')</t>
  </si>
  <si>
    <t xml:space="preserve">Master Bath - Relocate toilet 3' over </t>
  </si>
  <si>
    <t>Master Bath - New Shower plumbing and faucet</t>
  </si>
  <si>
    <t>Master Bath - New Bathtub plumbing, and faucet</t>
  </si>
  <si>
    <t>(E) Downstairs Bath - Replumb pee-trap (currently there is none, easily accessible though)</t>
  </si>
  <si>
    <t>Plumb water line to washer/dryer (~5' from existing line in exposed mechanical room)</t>
  </si>
  <si>
    <t>Master Bath - New Sink and faucets</t>
  </si>
  <si>
    <t>New - Kitchen Sink, faucet, and fridge water line</t>
  </si>
  <si>
    <t>Plumbing-Phase 1</t>
  </si>
  <si>
    <t>Plumbing - Phase 2</t>
  </si>
  <si>
    <t>Windows &amp; Door Install - Phase 2</t>
  </si>
  <si>
    <t>Windows &amp; Door Install-Phase 1</t>
  </si>
  <si>
    <t>Drywall-Phase 1</t>
  </si>
  <si>
    <t>Drywall - Phase 2</t>
  </si>
  <si>
    <t>Disposal -Phase 2</t>
  </si>
  <si>
    <t>Electrical-Phase 2</t>
  </si>
  <si>
    <t>Permit Application</t>
  </si>
  <si>
    <t>Tile-Phase 2</t>
  </si>
  <si>
    <t>Insulation-Phase 1</t>
  </si>
  <si>
    <t>Electrical-Phase 1</t>
  </si>
  <si>
    <t>Mechanical-Phase 1</t>
  </si>
  <si>
    <t>Roof &amp; Gutters-Phase 1</t>
  </si>
  <si>
    <t>Wall Framing-Phase 1</t>
  </si>
  <si>
    <t>Foundation and Concrete work-Phase 1</t>
  </si>
  <si>
    <t>Professional Services-Phase 1</t>
  </si>
  <si>
    <t>Disposal &amp; Permits-Phase 1</t>
  </si>
  <si>
    <t>Garage-Phase 1</t>
  </si>
  <si>
    <t>Paint-Phase 1</t>
  </si>
  <si>
    <t>Hardwoods-Phase 1</t>
  </si>
  <si>
    <t>Cabinets-Phase 1</t>
  </si>
  <si>
    <t>Appliances-Phase 1</t>
  </si>
  <si>
    <t>Finish Carpentry-Phase 1</t>
  </si>
  <si>
    <t>Wall Framing-Phase 2</t>
  </si>
  <si>
    <t>Hardwoods-Phase 2</t>
  </si>
  <si>
    <t>Finish Carpentry-Phase 2</t>
  </si>
  <si>
    <t>Landscaping-Phase 2</t>
  </si>
  <si>
    <t>Est. Labor Cost Per</t>
  </si>
  <si>
    <t>Est. Labor Total</t>
  </si>
  <si>
    <t>Est. Material Cost Per</t>
  </si>
  <si>
    <t>Item Number</t>
  </si>
  <si>
    <t>Total w/ Permit Hud fee and contingincies</t>
  </si>
  <si>
    <t>M</t>
  </si>
  <si>
    <t>T</t>
  </si>
  <si>
    <t>W</t>
  </si>
  <si>
    <t>H</t>
  </si>
  <si>
    <t>F</t>
  </si>
  <si>
    <t>S</t>
  </si>
  <si>
    <t>APR 1-7</t>
  </si>
  <si>
    <t>APR 8-14</t>
  </si>
  <si>
    <t>APR 15-21</t>
  </si>
  <si>
    <t>APR 22-28</t>
  </si>
  <si>
    <t>APR 29-MAY 5</t>
  </si>
  <si>
    <t>MAY 13-19</t>
  </si>
  <si>
    <t>MAY 20-26</t>
  </si>
  <si>
    <t>MAY27-JUNE 2</t>
  </si>
  <si>
    <t>JUNE 3-9</t>
  </si>
  <si>
    <t>JUNE 10-16</t>
  </si>
  <si>
    <t>JUNE 17-23</t>
  </si>
  <si>
    <t>JUNE 24-30</t>
  </si>
  <si>
    <t>JUL 1-7</t>
  </si>
  <si>
    <t>JUL 8-14</t>
  </si>
  <si>
    <t>JUL 15-21</t>
  </si>
  <si>
    <t>JUL  22-28</t>
  </si>
  <si>
    <t>JUL 29-AUG4</t>
  </si>
  <si>
    <t>AUG5-AUG11</t>
  </si>
  <si>
    <t>AUG 12-18</t>
  </si>
  <si>
    <t>AUG 19-25</t>
  </si>
  <si>
    <t>Deck and Outdoor Kitchen - Phase 2</t>
  </si>
  <si>
    <t>Paint -Phase 2</t>
  </si>
  <si>
    <t>Start Date</t>
  </si>
  <si>
    <t>Complete Date</t>
  </si>
  <si>
    <t>TASK</t>
  </si>
  <si>
    <t>Weeks</t>
  </si>
  <si>
    <t>Amount Borrowed</t>
  </si>
  <si>
    <t>MAR 25-31</t>
  </si>
  <si>
    <t>Variance Application (submitted 3/21)</t>
  </si>
  <si>
    <t>Engineering, Permitting,HUD fees</t>
  </si>
  <si>
    <t>BY OTHERS</t>
  </si>
  <si>
    <t>SELF PERFORM</t>
  </si>
  <si>
    <t>*</t>
  </si>
  <si>
    <t>LEAD TIME ITEMS</t>
  </si>
  <si>
    <t>MAY 6-12</t>
  </si>
  <si>
    <t>AUG 26- SEP1</t>
  </si>
  <si>
    <t>Remaining Funds</t>
  </si>
  <si>
    <t xml:space="preserve">New Lights, insulation, drywall, framing, </t>
  </si>
  <si>
    <t>Existing Siding</t>
  </si>
  <si>
    <t>OCT7-OCT13</t>
  </si>
  <si>
    <t>SEP 30 OCT6</t>
  </si>
  <si>
    <t>SEP 23 SEP29</t>
  </si>
  <si>
    <t>SEP 16 SEP22</t>
  </si>
  <si>
    <t>SEP 9- SEP 15</t>
  </si>
  <si>
    <t>SEP 2- SEP 8</t>
  </si>
  <si>
    <t>Tear down Barn for Siding and Trimwork</t>
  </si>
  <si>
    <t>Put up Barnwood siding in shop</t>
  </si>
  <si>
    <t>Clean Barnwood</t>
  </si>
  <si>
    <t>Tear down Barn wood</t>
  </si>
  <si>
    <t>OCT 14-20</t>
  </si>
  <si>
    <t>OCT21-OCT 27</t>
  </si>
  <si>
    <t>New Lights,outlets,and insulation, and siding</t>
  </si>
  <si>
    <t>Kitchen Cabinets and butcher block</t>
  </si>
  <si>
    <t>Quartz Countertops (LF) 44SF kitchen; 16 sf vanity</t>
  </si>
  <si>
    <t>Amount Saved/over</t>
  </si>
  <si>
    <t>(Ext) wall (847 SF)2x6 Framing,sheathing,insulation, tar paper, Mtpl; barnwood siding  (SF)</t>
  </si>
  <si>
    <t>Timber Budget</t>
  </si>
  <si>
    <t>Used potbelly stove and pipes or baseboard</t>
  </si>
  <si>
    <t>Boom Truck and fork lift rental</t>
  </si>
  <si>
    <t>Snake (E) sink line</t>
  </si>
  <si>
    <t>Roof SIPs(1388 SF)</t>
  </si>
  <si>
    <t>HUD Item #</t>
  </si>
  <si>
    <t>HUD Budget</t>
  </si>
  <si>
    <t>HUD/Actual difference</t>
  </si>
  <si>
    <t>HUD draw % to date</t>
  </si>
  <si>
    <t>-</t>
  </si>
  <si>
    <t>Windows and Exterior Doors</t>
  </si>
  <si>
    <t>Timber Columns and Beams</t>
  </si>
  <si>
    <t>Venta-hood/Microwave</t>
  </si>
  <si>
    <t>13 and 15</t>
  </si>
  <si>
    <t>Bigfoots</t>
  </si>
  <si>
    <t>Sauna tubs</t>
  </si>
  <si>
    <t>Size</t>
  </si>
  <si>
    <t>Rebar</t>
  </si>
  <si>
    <t>Concrete/per</t>
  </si>
  <si>
    <t>4'</t>
  </si>
  <si>
    <t>#4 - 12'</t>
  </si>
  <si>
    <t>Rebar and Sauna tubs</t>
  </si>
  <si>
    <t>Bobcat Rental</t>
  </si>
  <si>
    <t>Pump truck</t>
  </si>
  <si>
    <t>Auger Rental</t>
  </si>
  <si>
    <t>Dirt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</si>
  <si>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</si>
  <si>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Foundation Concrete work, Excavation and backfill</t>
  </si>
  <si>
    <t>Date 06/12/12</t>
  </si>
  <si>
    <t>10% reserve</t>
  </si>
  <si>
    <t>Amount to me</t>
  </si>
  <si>
    <t>Hud Draw-1 6/12/12</t>
  </si>
  <si>
    <t>Hud Draw -2 7/5/12</t>
  </si>
  <si>
    <t>Item Budget Total</t>
  </si>
  <si>
    <t>Total Draw 1-6/12/12 (spent)</t>
  </si>
  <si>
    <t>Total Draw 2-7/5/12 (spent)</t>
  </si>
  <si>
    <t>HUD draw amount to date 7/5/12</t>
  </si>
  <si>
    <t>Amount over budget</t>
  </si>
  <si>
    <t>Disposal and Demolition</t>
  </si>
  <si>
    <t>Total Draw 3-8/26/12(spent)</t>
  </si>
  <si>
    <t>Total spent to Date 8/26/12</t>
  </si>
  <si>
    <t>Contingincies/Add service</t>
  </si>
  <si>
    <t>Hud Draw -3 8/26/12</t>
  </si>
  <si>
    <t>Account Balance 9/23</t>
  </si>
  <si>
    <t>Amount left</t>
  </si>
  <si>
    <t>Miscellaneous/Permit</t>
  </si>
  <si>
    <t>57.2/58</t>
  </si>
  <si>
    <t>Rough Break Out</t>
  </si>
  <si>
    <t>140K purchase 60K renovation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</si>
</sst>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7" formatCode="&quot;$&quot;#,##0.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 tint="0.34998626667073579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u/>
      <sz val="10"/>
      <color theme="11"/>
      <name val="Arial"/>
      <family val="2"/>
    </font>
    <font>
      <b/>
      <sz val="10"/>
      <name val="Calibri"/>
      <family val="2"/>
      <scheme val="minor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9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/>
    <xf numFmtId="0" fontId="4" fillId="0" borderId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</cellStyleXfs>
  <cellXfs count="241">
    <xf numFmtId="0" fontId="0" fillId="0" borderId="0" xfId="0"/>
    <xf numFmtId="164" fontId="5" fillId="0" borderId="0" xfId="1" applyNumberFormat="1" applyFont="1" applyFill="1" applyBorder="1"/>
    <xf numFmtId="3" fontId="0" fillId="0" borderId="0" xfId="0" applyNumberFormat="1"/>
    <xf numFmtId="37" fontId="5" fillId="0" borderId="0" xfId="1" applyNumberFormat="1" applyFont="1" applyFill="1" applyBorder="1"/>
    <xf numFmtId="0" fontId="4" fillId="0" borderId="0" xfId="0" applyFont="1"/>
    <xf numFmtId="164" fontId="7" fillId="0" borderId="0" xfId="1" applyNumberFormat="1" applyFont="1" applyFill="1" applyBorder="1" applyAlignment="1">
      <alignment horizontal="left"/>
    </xf>
    <xf numFmtId="37" fontId="7" fillId="0" borderId="0" xfId="1" applyNumberFormat="1" applyFont="1" applyFill="1" applyBorder="1" applyAlignment="1">
      <alignment horizontal="left"/>
    </xf>
    <xf numFmtId="1" fontId="7" fillId="0" borderId="0" xfId="1" applyNumberFormat="1" applyFont="1" applyFill="1" applyBorder="1" applyAlignment="1">
      <alignment horizontal="left"/>
    </xf>
    <xf numFmtId="164" fontId="7" fillId="0" borderId="3" xfId="1" applyNumberFormat="1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3" xfId="0" applyFont="1" applyBorder="1"/>
    <xf numFmtId="0" fontId="0" fillId="0" borderId="3" xfId="0" applyBorder="1"/>
    <xf numFmtId="3" fontId="0" fillId="0" borderId="3" xfId="0" applyNumberFormat="1" applyBorder="1"/>
    <xf numFmtId="3" fontId="6" fillId="0" borderId="3" xfId="0" applyNumberFormat="1" applyFont="1" applyBorder="1"/>
    <xf numFmtId="0" fontId="6" fillId="0" borderId="3" xfId="0" applyFont="1" applyBorder="1"/>
    <xf numFmtId="0" fontId="6" fillId="0" borderId="0" xfId="0" applyFont="1"/>
    <xf numFmtId="0" fontId="4" fillId="0" borderId="3" xfId="0" applyFont="1" applyFill="1" applyBorder="1"/>
    <xf numFmtId="3" fontId="6" fillId="0" borderId="0" xfId="0" applyNumberFormat="1" applyFont="1"/>
    <xf numFmtId="1" fontId="0" fillId="0" borderId="3" xfId="0" applyNumberFormat="1" applyBorder="1"/>
    <xf numFmtId="1" fontId="6" fillId="0" borderId="3" xfId="0" applyNumberFormat="1" applyFont="1" applyBorder="1"/>
    <xf numFmtId="1" fontId="6" fillId="0" borderId="0" xfId="0" applyNumberFormat="1" applyFont="1"/>
    <xf numFmtId="0" fontId="0" fillId="0" borderId="3" xfId="0" applyBorder="1" applyAlignment="1">
      <alignment horizontal="left"/>
    </xf>
    <xf numFmtId="0" fontId="6" fillId="0" borderId="4" xfId="0" applyFont="1" applyFill="1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/>
    <xf numFmtId="0" fontId="4" fillId="0" borderId="0" xfId="0" applyFont="1" applyFill="1" applyBorder="1"/>
    <xf numFmtId="0" fontId="10" fillId="0" borderId="0" xfId="0" applyFont="1"/>
    <xf numFmtId="0" fontId="10" fillId="0" borderId="0" xfId="0" applyFont="1" applyFill="1" applyBorder="1"/>
    <xf numFmtId="3" fontId="0" fillId="0" borderId="0" xfId="0" applyNumberFormat="1" applyBorder="1"/>
    <xf numFmtId="0" fontId="0" fillId="0" borderId="0" xfId="0" applyBorder="1"/>
    <xf numFmtId="0" fontId="6" fillId="0" borderId="0" xfId="4" applyFont="1"/>
    <xf numFmtId="0" fontId="6" fillId="0" borderId="0" xfId="4" applyFont="1" applyAlignment="1">
      <alignment horizontal="center" wrapText="1"/>
    </xf>
    <xf numFmtId="0" fontId="6" fillId="2" borderId="0" xfId="4" applyFont="1" applyFill="1"/>
    <xf numFmtId="0" fontId="6" fillId="2" borderId="0" xfId="4" applyFont="1" applyFill="1" applyAlignment="1">
      <alignment horizontal="center"/>
    </xf>
    <xf numFmtId="44" fontId="6" fillId="2" borderId="0" xfId="5" applyNumberFormat="1" applyFont="1" applyFill="1"/>
    <xf numFmtId="164" fontId="6" fillId="2" borderId="0" xfId="5" applyNumberFormat="1" applyFont="1" applyFill="1"/>
    <xf numFmtId="0" fontId="4" fillId="0" borderId="0" xfId="4" applyAlignment="1">
      <alignment horizontal="center"/>
    </xf>
    <xf numFmtId="44" fontId="0" fillId="0" borderId="0" xfId="0" applyNumberFormat="1"/>
    <xf numFmtId="164" fontId="0" fillId="0" borderId="0" xfId="0" applyNumberFormat="1" applyFont="1"/>
    <xf numFmtId="44" fontId="4" fillId="0" borderId="0" xfId="5" applyFont="1"/>
    <xf numFmtId="164" fontId="4" fillId="0" borderId="0" xfId="5" applyNumberFormat="1" applyFont="1"/>
    <xf numFmtId="0" fontId="6" fillId="0" borderId="0" xfId="4" applyFont="1" applyFill="1"/>
    <xf numFmtId="0" fontId="4" fillId="0" borderId="0" xfId="4" applyFont="1" applyFill="1"/>
    <xf numFmtId="0" fontId="4" fillId="0" borderId="0" xfId="4" applyFont="1"/>
    <xf numFmtId="164" fontId="4" fillId="2" borderId="0" xfId="5" applyNumberFormat="1" applyFont="1" applyFill="1"/>
    <xf numFmtId="0" fontId="9" fillId="0" borderId="3" xfId="0" applyFont="1" applyBorder="1"/>
    <xf numFmtId="0" fontId="9" fillId="0" borderId="0" xfId="0" applyFont="1" applyBorder="1"/>
    <xf numFmtId="0" fontId="7" fillId="0" borderId="0" xfId="0" applyFont="1" applyBorder="1" applyAlignment="1">
      <alignment horizontal="left"/>
    </xf>
    <xf numFmtId="1" fontId="7" fillId="0" borderId="0" xfId="0" applyNumberFormat="1" applyFont="1" applyBorder="1" applyAlignment="1">
      <alignment horizontal="left"/>
    </xf>
    <xf numFmtId="37" fontId="7" fillId="0" borderId="0" xfId="0" applyNumberFormat="1" applyFont="1" applyBorder="1" applyAlignment="1">
      <alignment horizontal="left"/>
    </xf>
    <xf numFmtId="164" fontId="7" fillId="0" borderId="3" xfId="1" applyNumberFormat="1" applyFont="1" applyFill="1" applyBorder="1" applyAlignment="1">
      <alignment horizontal="left" wrapText="1"/>
    </xf>
    <xf numFmtId="164" fontId="7" fillId="0" borderId="3" xfId="1" applyNumberFormat="1" applyFont="1" applyFill="1" applyBorder="1"/>
    <xf numFmtId="164" fontId="6" fillId="0" borderId="3" xfId="0" applyNumberFormat="1" applyFont="1" applyBorder="1"/>
    <xf numFmtId="0" fontId="11" fillId="0" borderId="3" xfId="0" applyFont="1" applyBorder="1"/>
    <xf numFmtId="164" fontId="14" fillId="0" borderId="3" xfId="1" applyNumberFormat="1" applyFont="1" applyFill="1" applyBorder="1"/>
    <xf numFmtId="0" fontId="0" fillId="0" borderId="3" xfId="0" applyFill="1" applyBorder="1"/>
    <xf numFmtId="3" fontId="0" fillId="0" borderId="3" xfId="0" applyNumberFormat="1" applyFill="1" applyBorder="1"/>
    <xf numFmtId="10" fontId="4" fillId="0" borderId="0" xfId="0" applyNumberFormat="1" applyFont="1" applyBorder="1"/>
    <xf numFmtId="167" fontId="7" fillId="0" borderId="3" xfId="0" applyNumberFormat="1" applyFont="1" applyBorder="1" applyAlignment="1">
      <alignment horizontal="left"/>
    </xf>
    <xf numFmtId="167" fontId="7" fillId="0" borderId="3" xfId="1" applyNumberFormat="1" applyFont="1" applyFill="1" applyBorder="1" applyAlignment="1">
      <alignment horizontal="left"/>
    </xf>
    <xf numFmtId="167" fontId="7" fillId="0" borderId="3" xfId="0" applyNumberFormat="1" applyFont="1" applyBorder="1" applyAlignment="1">
      <alignment horizontal="right"/>
    </xf>
    <xf numFmtId="167" fontId="0" fillId="0" borderId="3" xfId="0" applyNumberFormat="1" applyBorder="1"/>
    <xf numFmtId="0" fontId="4" fillId="0" borderId="0" xfId="0" applyFont="1" applyBorder="1"/>
    <xf numFmtId="1" fontId="7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49" fontId="4" fillId="0" borderId="3" xfId="0" applyNumberFormat="1" applyFont="1" applyFill="1" applyBorder="1" applyAlignment="1">
      <alignment horizontal="left"/>
    </xf>
    <xf numFmtId="167" fontId="4" fillId="0" borderId="3" xfId="0" applyNumberFormat="1" applyFont="1" applyBorder="1" applyAlignment="1"/>
    <xf numFmtId="167" fontId="4" fillId="0" borderId="3" xfId="0" applyNumberFormat="1" applyFont="1" applyBorder="1"/>
    <xf numFmtId="0" fontId="4" fillId="0" borderId="3" xfId="0" applyNumberFormat="1" applyFont="1" applyBorder="1"/>
    <xf numFmtId="167" fontId="4" fillId="0" borderId="3" xfId="0" applyNumberFormat="1" applyFont="1" applyFill="1" applyBorder="1" applyAlignment="1"/>
    <xf numFmtId="167" fontId="6" fillId="0" borderId="3" xfId="0" applyNumberFormat="1" applyFont="1" applyBorder="1"/>
    <xf numFmtId="0" fontId="6" fillId="0" borderId="0" xfId="0" applyFont="1" applyFill="1" applyBorder="1"/>
    <xf numFmtId="0" fontId="6" fillId="0" borderId="3" xfId="0" applyFont="1" applyFill="1" applyBorder="1"/>
    <xf numFmtId="0" fontId="0" fillId="5" borderId="0" xfId="0" applyFill="1"/>
    <xf numFmtId="0" fontId="0" fillId="5" borderId="0" xfId="0" applyFill="1" applyBorder="1"/>
    <xf numFmtId="0" fontId="0" fillId="0" borderId="0" xfId="0" applyFill="1"/>
    <xf numFmtId="49" fontId="6" fillId="0" borderId="3" xfId="0" applyNumberFormat="1" applyFont="1" applyFill="1" applyBorder="1" applyAlignment="1">
      <alignment horizontal="left"/>
    </xf>
    <xf numFmtId="0" fontId="4" fillId="6" borderId="0" xfId="0" applyFont="1" applyFill="1" applyBorder="1"/>
    <xf numFmtId="0" fontId="0" fillId="6" borderId="0" xfId="0" applyFill="1" applyBorder="1"/>
    <xf numFmtId="0" fontId="0" fillId="6" borderId="0" xfId="0" applyFill="1"/>
    <xf numFmtId="0" fontId="4" fillId="5" borderId="0" xfId="0" applyFont="1" applyFill="1"/>
    <xf numFmtId="1" fontId="6" fillId="0" borderId="0" xfId="0" applyNumberFormat="1" applyFont="1" applyBorder="1"/>
    <xf numFmtId="1" fontId="4" fillId="0" borderId="3" xfId="0" applyNumberFormat="1" applyFont="1" applyBorder="1"/>
    <xf numFmtId="0" fontId="2" fillId="0" borderId="3" xfId="0" applyFont="1" applyBorder="1"/>
    <xf numFmtId="0" fontId="8" fillId="0" borderId="0" xfId="2"/>
    <xf numFmtId="0" fontId="6" fillId="0" borderId="0" xfId="0" applyFont="1" applyFill="1"/>
    <xf numFmtId="0" fontId="4" fillId="0" borderId="3" xfId="4" applyFont="1" applyFill="1" applyBorder="1"/>
    <xf numFmtId="0" fontId="4" fillId="0" borderId="3" xfId="4" applyBorder="1" applyAlignment="1">
      <alignment horizontal="center"/>
    </xf>
    <xf numFmtId="44" fontId="4" fillId="0" borderId="3" xfId="5" applyFont="1" applyBorder="1"/>
    <xf numFmtId="164" fontId="4" fillId="0" borderId="3" xfId="5" applyNumberFormat="1" applyFont="1" applyBorder="1"/>
    <xf numFmtId="0" fontId="4" fillId="0" borderId="3" xfId="4" applyFont="1" applyBorder="1"/>
    <xf numFmtId="0" fontId="4" fillId="0" borderId="3" xfId="4" applyFill="1" applyBorder="1" applyAlignment="1">
      <alignment horizontal="center"/>
    </xf>
    <xf numFmtId="0" fontId="6" fillId="0" borderId="0" xfId="4" applyFont="1" applyFill="1" applyBorder="1"/>
    <xf numFmtId="0" fontId="6" fillId="0" borderId="3" xfId="4" applyFont="1" applyBorder="1"/>
    <xf numFmtId="164" fontId="0" fillId="0" borderId="3" xfId="0" applyNumberFormat="1" applyBorder="1"/>
    <xf numFmtId="1" fontId="4" fillId="0" borderId="3" xfId="4" applyNumberFormat="1" applyFill="1" applyBorder="1" applyAlignment="1">
      <alignment horizontal="center"/>
    </xf>
    <xf numFmtId="164" fontId="0" fillId="0" borderId="3" xfId="0" applyNumberFormat="1" applyFont="1" applyBorder="1"/>
    <xf numFmtId="164" fontId="4" fillId="0" borderId="0" xfId="5" applyNumberFormat="1" applyFont="1"/>
    <xf numFmtId="0" fontId="4" fillId="0" borderId="4" xfId="0" applyFont="1" applyFill="1" applyBorder="1"/>
    <xf numFmtId="0" fontId="4" fillId="0" borderId="0" xfId="4" applyFont="1" applyAlignment="1">
      <alignment wrapText="1"/>
    </xf>
    <xf numFmtId="0" fontId="4" fillId="0" borderId="0" xfId="4" applyFont="1" applyFill="1" applyAlignment="1">
      <alignment wrapText="1"/>
    </xf>
    <xf numFmtId="44" fontId="6" fillId="0" borderId="0" xfId="5" applyNumberFormat="1" applyFont="1" applyAlignment="1">
      <alignment wrapText="1"/>
    </xf>
    <xf numFmtId="164" fontId="6" fillId="0" borderId="0" xfId="5" applyNumberFormat="1" applyFont="1" applyAlignment="1">
      <alignment wrapText="1"/>
    </xf>
    <xf numFmtId="0" fontId="9" fillId="0" borderId="0" xfId="0" applyFont="1" applyAlignment="1">
      <alignment wrapText="1"/>
    </xf>
    <xf numFmtId="0" fontId="4" fillId="6" borderId="3" xfId="0" applyFont="1" applyFill="1" applyBorder="1"/>
    <xf numFmtId="0" fontId="6" fillId="2" borderId="0" xfId="4" applyFont="1" applyFill="1" applyAlignment="1">
      <alignment wrapText="1"/>
    </xf>
    <xf numFmtId="0" fontId="4" fillId="0" borderId="0" xfId="4" applyFont="1" applyAlignment="1">
      <alignment horizontal="left" wrapText="1"/>
    </xf>
    <xf numFmtId="0" fontId="6" fillId="2" borderId="0" xfId="4" applyFont="1" applyFill="1" applyBorder="1" applyAlignment="1">
      <alignment wrapText="1"/>
    </xf>
    <xf numFmtId="0" fontId="6" fillId="0" borderId="0" xfId="4" applyFont="1" applyAlignment="1">
      <alignment wrapText="1"/>
    </xf>
    <xf numFmtId="0" fontId="4" fillId="7" borderId="3" xfId="0" applyFont="1" applyFill="1" applyBorder="1"/>
    <xf numFmtId="0" fontId="4" fillId="0" borderId="10" xfId="0" applyFont="1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11" xfId="0" applyBorder="1" applyAlignment="1">
      <alignment textRotation="90"/>
    </xf>
    <xf numFmtId="0" fontId="0" fillId="8" borderId="0" xfId="0" applyFill="1"/>
    <xf numFmtId="0" fontId="0" fillId="9" borderId="0" xfId="0" applyFill="1"/>
    <xf numFmtId="0" fontId="0" fillId="8" borderId="13" xfId="0" applyFill="1" applyBorder="1"/>
    <xf numFmtId="0" fontId="0" fillId="9" borderId="7" xfId="0" applyFill="1" applyBorder="1"/>
    <xf numFmtId="0" fontId="0" fillId="8" borderId="7" xfId="0" applyFill="1" applyBorder="1"/>
    <xf numFmtId="0" fontId="0" fillId="0" borderId="7" xfId="0" applyBorder="1"/>
    <xf numFmtId="0" fontId="0" fillId="0" borderId="7" xfId="0" applyFill="1" applyBorder="1"/>
    <xf numFmtId="0" fontId="0" fillId="8" borderId="1" xfId="0" applyFill="1" applyBorder="1"/>
    <xf numFmtId="0" fontId="0" fillId="8" borderId="0" xfId="0" applyFill="1" applyBorder="1"/>
    <xf numFmtId="0" fontId="4" fillId="8" borderId="0" xfId="0" applyFont="1" applyFill="1" applyBorder="1"/>
    <xf numFmtId="0" fontId="15" fillId="7" borderId="3" xfId="0" applyFont="1" applyFill="1" applyBorder="1"/>
    <xf numFmtId="0" fontId="6" fillId="2" borderId="2" xfId="4" applyFont="1" applyFill="1" applyBorder="1" applyAlignment="1">
      <alignment wrapText="1"/>
    </xf>
    <xf numFmtId="0" fontId="0" fillId="0" borderId="2" xfId="0" applyBorder="1"/>
    <xf numFmtId="0" fontId="0" fillId="8" borderId="2" xfId="0" applyFill="1" applyBorder="1"/>
    <xf numFmtId="0" fontId="0" fillId="9" borderId="14" xfId="0" applyFill="1" applyBorder="1"/>
    <xf numFmtId="0" fontId="0" fillId="9" borderId="2" xfId="0" applyFill="1" applyBorder="1"/>
    <xf numFmtId="0" fontId="0" fillId="0" borderId="15" xfId="0" applyBorder="1"/>
    <xf numFmtId="0" fontId="0" fillId="0" borderId="1" xfId="0" applyBorder="1"/>
    <xf numFmtId="0" fontId="0" fillId="0" borderId="4" xfId="0" applyBorder="1"/>
    <xf numFmtId="0" fontId="0" fillId="8" borderId="4" xfId="0" applyFill="1" applyBorder="1"/>
    <xf numFmtId="0" fontId="0" fillId="9" borderId="12" xfId="0" applyFill="1" applyBorder="1"/>
    <xf numFmtId="0" fontId="0" fillId="8" borderId="12" xfId="0" applyFill="1" applyBorder="1"/>
    <xf numFmtId="0" fontId="4" fillId="2" borderId="0" xfId="4" applyFont="1" applyFill="1" applyAlignment="1">
      <alignment wrapText="1"/>
    </xf>
    <xf numFmtId="0" fontId="4" fillId="9" borderId="0" xfId="0" applyFont="1" applyFill="1" applyBorder="1"/>
    <xf numFmtId="16" fontId="6" fillId="2" borderId="0" xfId="4" applyNumberFormat="1" applyFont="1" applyFill="1" applyAlignment="1">
      <alignment wrapText="1"/>
    </xf>
    <xf numFmtId="16" fontId="4" fillId="2" borderId="0" xfId="4" applyNumberFormat="1" applyFont="1" applyFill="1" applyAlignment="1">
      <alignment wrapText="1"/>
    </xf>
    <xf numFmtId="16" fontId="6" fillId="2" borderId="2" xfId="4" applyNumberFormat="1" applyFont="1" applyFill="1" applyBorder="1" applyAlignment="1">
      <alignment wrapText="1"/>
    </xf>
    <xf numFmtId="16" fontId="6" fillId="2" borderId="0" xfId="4" applyNumberFormat="1" applyFont="1" applyFill="1" applyBorder="1" applyAlignment="1">
      <alignment wrapText="1"/>
    </xf>
    <xf numFmtId="164" fontId="6" fillId="0" borderId="0" xfId="0" applyNumberFormat="1" applyFont="1"/>
    <xf numFmtId="16" fontId="0" fillId="0" borderId="0" xfId="0" applyNumberFormat="1" applyAlignment="1">
      <alignment wrapText="1"/>
    </xf>
    <xf numFmtId="16" fontId="4" fillId="0" borderId="0" xfId="4" applyNumberFormat="1" applyFont="1" applyAlignment="1">
      <alignment wrapText="1"/>
    </xf>
    <xf numFmtId="0" fontId="6" fillId="0" borderId="0" xfId="0" applyFont="1" applyAlignment="1">
      <alignment wrapText="1"/>
    </xf>
    <xf numFmtId="0" fontId="0" fillId="9" borderId="9" xfId="0" applyFill="1" applyBorder="1"/>
    <xf numFmtId="0" fontId="0" fillId="0" borderId="8" xfId="0" applyBorder="1"/>
    <xf numFmtId="0" fontId="4" fillId="0" borderId="0" xfId="4" applyFont="1" applyFill="1" applyBorder="1" applyAlignment="1">
      <alignment wrapText="1"/>
    </xf>
    <xf numFmtId="0" fontId="4" fillId="0" borderId="0" xfId="4" applyFont="1" applyBorder="1" applyAlignment="1">
      <alignment wrapText="1"/>
    </xf>
    <xf numFmtId="0" fontId="0" fillId="8" borderId="3" xfId="0" applyFill="1" applyBorder="1"/>
    <xf numFmtId="0" fontId="0" fillId="9" borderId="3" xfId="0" applyFill="1" applyBorder="1"/>
    <xf numFmtId="0" fontId="4" fillId="7" borderId="6" xfId="0" applyFont="1" applyFill="1" applyBorder="1"/>
    <xf numFmtId="0" fontId="0" fillId="9" borderId="0" xfId="0" applyFill="1" applyBorder="1"/>
    <xf numFmtId="0" fontId="0" fillId="9" borderId="1" xfId="0" applyFill="1" applyBorder="1"/>
    <xf numFmtId="0" fontId="0" fillId="0" borderId="12" xfId="0" applyBorder="1"/>
    <xf numFmtId="16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wrapText="1"/>
    </xf>
    <xf numFmtId="0" fontId="4" fillId="6" borderId="11" xfId="0" applyFont="1" applyFill="1" applyBorder="1"/>
    <xf numFmtId="0" fontId="0" fillId="0" borderId="0" xfId="0" applyBorder="1" applyAlignment="1">
      <alignment wrapText="1"/>
    </xf>
    <xf numFmtId="0" fontId="15" fillId="7" borderId="6" xfId="0" applyFont="1" applyFill="1" applyBorder="1"/>
    <xf numFmtId="0" fontId="0" fillId="8" borderId="15" xfId="0" applyFill="1" applyBorder="1"/>
    <xf numFmtId="0" fontId="0" fillId="0" borderId="14" xfId="0" applyFill="1" applyBorder="1"/>
    <xf numFmtId="0" fontId="4" fillId="8" borderId="7" xfId="0" applyFont="1" applyFill="1" applyBorder="1"/>
    <xf numFmtId="0" fontId="4" fillId="0" borderId="3" xfId="4" applyBorder="1"/>
    <xf numFmtId="164" fontId="6" fillId="0" borderId="3" xfId="5" applyNumberFormat="1" applyFont="1" applyBorder="1"/>
    <xf numFmtId="0" fontId="6" fillId="0" borderId="3" xfId="4" applyFont="1" applyFill="1" applyBorder="1"/>
    <xf numFmtId="9" fontId="0" fillId="0" borderId="0" xfId="0" applyNumberFormat="1"/>
    <xf numFmtId="9" fontId="9" fillId="0" borderId="0" xfId="0" applyNumberFormat="1" applyFont="1" applyAlignment="1">
      <alignment wrapText="1"/>
    </xf>
    <xf numFmtId="9" fontId="6" fillId="2" borderId="0" xfId="5" applyNumberFormat="1" applyFont="1" applyFill="1"/>
    <xf numFmtId="9" fontId="4" fillId="0" borderId="0" xfId="5" applyNumberFormat="1" applyFont="1"/>
    <xf numFmtId="9" fontId="4" fillId="0" borderId="0" xfId="5" applyNumberFormat="1" applyFont="1" applyFill="1"/>
    <xf numFmtId="0" fontId="6" fillId="2" borderId="3" xfId="4" applyFont="1" applyFill="1" applyBorder="1"/>
    <xf numFmtId="0" fontId="4" fillId="2" borderId="3" xfId="4" applyFill="1" applyBorder="1" applyAlignment="1">
      <alignment horizontal="center"/>
    </xf>
    <xf numFmtId="44" fontId="4" fillId="2" borderId="3" xfId="5" applyFont="1" applyFill="1" applyBorder="1"/>
    <xf numFmtId="164" fontId="6" fillId="2" borderId="3" xfId="5" applyNumberFormat="1" applyFont="1" applyFill="1" applyBorder="1"/>
    <xf numFmtId="0" fontId="0" fillId="2" borderId="3" xfId="0" applyFill="1" applyBorder="1"/>
    <xf numFmtId="9" fontId="6" fillId="2" borderId="3" xfId="5" applyNumberFormat="1" applyFont="1" applyFill="1" applyBorder="1"/>
    <xf numFmtId="9" fontId="4" fillId="0" borderId="3" xfId="5" applyNumberFormat="1" applyFont="1" applyBorder="1"/>
    <xf numFmtId="0" fontId="12" fillId="2" borderId="3" xfId="4" applyFont="1" applyFill="1" applyBorder="1" applyAlignment="1">
      <alignment horizontal="center"/>
    </xf>
    <xf numFmtId="44" fontId="12" fillId="2" borderId="3" xfId="5" applyNumberFormat="1" applyFont="1" applyFill="1" applyBorder="1"/>
    <xf numFmtId="44" fontId="4" fillId="0" borderId="3" xfId="5" applyNumberFormat="1" applyFont="1" applyBorder="1"/>
    <xf numFmtId="44" fontId="4" fillId="2" borderId="3" xfId="5" applyNumberFormat="1" applyFont="1" applyFill="1" applyBorder="1"/>
    <xf numFmtId="44" fontId="0" fillId="0" borderId="3" xfId="0" applyNumberFormat="1" applyBorder="1"/>
    <xf numFmtId="0" fontId="4" fillId="0" borderId="3" xfId="4" applyFont="1" applyFill="1" applyBorder="1" applyAlignment="1">
      <alignment horizontal="center"/>
    </xf>
    <xf numFmtId="44" fontId="4" fillId="0" borderId="3" xfId="5" applyNumberFormat="1" applyFont="1" applyFill="1" applyBorder="1"/>
    <xf numFmtId="0" fontId="4" fillId="2" borderId="3" xfId="4" applyFont="1" applyFill="1" applyBorder="1" applyAlignment="1">
      <alignment horizontal="center"/>
    </xf>
    <xf numFmtId="164" fontId="4" fillId="2" borderId="3" xfId="5" applyNumberFormat="1" applyFont="1" applyFill="1" applyBorder="1"/>
    <xf numFmtId="164" fontId="6" fillId="0" borderId="3" xfId="5" applyNumberFormat="1" applyFont="1" applyFill="1" applyBorder="1"/>
    <xf numFmtId="9" fontId="4" fillId="0" borderId="3" xfId="5" applyNumberFormat="1" applyFont="1" applyFill="1" applyBorder="1"/>
    <xf numFmtId="164" fontId="4" fillId="0" borderId="3" xfId="5" applyNumberFormat="1" applyFont="1" applyFill="1" applyBorder="1"/>
    <xf numFmtId="0" fontId="4" fillId="0" borderId="3" xfId="4" applyFill="1" applyBorder="1" applyAlignment="1">
      <alignment horizontal="right"/>
    </xf>
    <xf numFmtId="1" fontId="4" fillId="2" borderId="3" xfId="4" applyNumberFormat="1" applyFill="1" applyBorder="1" applyAlignment="1">
      <alignment horizontal="center"/>
    </xf>
    <xf numFmtId="0" fontId="6" fillId="2" borderId="3" xfId="4" applyFont="1" applyFill="1" applyBorder="1" applyAlignment="1">
      <alignment horizontal="center"/>
    </xf>
    <xf numFmtId="44" fontId="6" fillId="2" borderId="3" xfId="5" applyNumberFormat="1" applyFont="1" applyFill="1" applyBorder="1"/>
    <xf numFmtId="3" fontId="4" fillId="0" borderId="3" xfId="4" applyNumberFormat="1" applyFill="1" applyBorder="1" applyAlignment="1">
      <alignment horizontal="center"/>
    </xf>
    <xf numFmtId="0" fontId="4" fillId="2" borderId="3" xfId="4" applyFill="1" applyBorder="1"/>
    <xf numFmtId="0" fontId="4" fillId="0" borderId="3" xfId="4" applyFont="1" applyBorder="1" applyAlignment="1">
      <alignment horizontal="left"/>
    </xf>
    <xf numFmtId="44" fontId="6" fillId="2" borderId="3" xfId="5" applyFont="1" applyFill="1" applyBorder="1"/>
    <xf numFmtId="164" fontId="0" fillId="2" borderId="3" xfId="0" applyNumberFormat="1" applyFont="1" applyFill="1" applyBorder="1"/>
    <xf numFmtId="9" fontId="4" fillId="2" borderId="3" xfId="5" applyNumberFormat="1" applyFont="1" applyFill="1" applyBorder="1"/>
    <xf numFmtId="0" fontId="9" fillId="2" borderId="3" xfId="0" applyFont="1" applyFill="1" applyBorder="1"/>
    <xf numFmtId="44" fontId="6" fillId="0" borderId="3" xfId="0" applyNumberFormat="1" applyFont="1" applyBorder="1"/>
    <xf numFmtId="0" fontId="4" fillId="0" borderId="0" xfId="0" applyFont="1" applyFill="1"/>
    <xf numFmtId="164" fontId="6" fillId="10" borderId="3" xfId="5" applyNumberFormat="1" applyFont="1" applyFill="1" applyBorder="1"/>
    <xf numFmtId="164" fontId="6" fillId="3" borderId="3" xfId="5" applyNumberFormat="1" applyFont="1" applyFill="1" applyBorder="1"/>
    <xf numFmtId="164" fontId="4" fillId="3" borderId="3" xfId="5" applyNumberFormat="1" applyFont="1" applyFill="1" applyBorder="1"/>
    <xf numFmtId="9" fontId="6" fillId="3" borderId="3" xfId="5" applyNumberFormat="1" applyFont="1" applyFill="1" applyBorder="1"/>
    <xf numFmtId="44" fontId="0" fillId="4" borderId="3" xfId="0" applyNumberFormat="1" applyFill="1" applyBorder="1"/>
    <xf numFmtId="164" fontId="4" fillId="4" borderId="3" xfId="5" applyNumberFormat="1" applyFont="1" applyFill="1" applyBorder="1"/>
    <xf numFmtId="9" fontId="0" fillId="4" borderId="3" xfId="0" applyNumberFormat="1" applyFill="1" applyBorder="1"/>
    <xf numFmtId="9" fontId="4" fillId="0" borderId="3" xfId="0" applyNumberFormat="1" applyFont="1" applyBorder="1"/>
    <xf numFmtId="9" fontId="4" fillId="0" borderId="3" xfId="0" applyNumberFormat="1" applyFont="1" applyBorder="1" applyAlignment="1">
      <alignment wrapText="1"/>
    </xf>
    <xf numFmtId="164" fontId="4" fillId="0" borderId="0" xfId="5" applyNumberFormat="1" applyFont="1" applyBorder="1"/>
    <xf numFmtId="44" fontId="0" fillId="4" borderId="0" xfId="0" applyNumberFormat="1" applyFill="1" applyBorder="1"/>
    <xf numFmtId="164" fontId="6" fillId="2" borderId="10" xfId="5" applyNumberFormat="1" applyFont="1" applyFill="1" applyBorder="1"/>
    <xf numFmtId="164" fontId="4" fillId="0" borderId="10" xfId="5" applyNumberFormat="1" applyFont="1" applyBorder="1"/>
    <xf numFmtId="164" fontId="4" fillId="0" borderId="10" xfId="5" applyNumberFormat="1" applyFont="1" applyFill="1" applyBorder="1"/>
    <xf numFmtId="164" fontId="6" fillId="0" borderId="11" xfId="5" applyNumberFormat="1" applyFont="1" applyBorder="1" applyAlignment="1">
      <alignment wrapText="1"/>
    </xf>
    <xf numFmtId="0" fontId="0" fillId="0" borderId="11" xfId="0" applyBorder="1"/>
    <xf numFmtId="0" fontId="6" fillId="0" borderId="0" xfId="4" applyFont="1" applyBorder="1"/>
    <xf numFmtId="164" fontId="6" fillId="0" borderId="0" xfId="5" applyNumberFormat="1" applyFont="1" applyBorder="1" applyAlignment="1">
      <alignment wrapText="1"/>
    </xf>
    <xf numFmtId="164" fontId="6" fillId="0" borderId="0" xfId="5" applyNumberFormat="1" applyFont="1" applyBorder="1"/>
    <xf numFmtId="0" fontId="4" fillId="0" borderId="0" xfId="4" applyBorder="1"/>
    <xf numFmtId="164" fontId="0" fillId="0" borderId="0" xfId="0" applyNumberFormat="1" applyBorder="1"/>
    <xf numFmtId="0" fontId="4" fillId="0" borderId="0" xfId="4" applyFill="1" applyBorder="1"/>
    <xf numFmtId="164" fontId="6" fillId="0" borderId="0" xfId="0" applyNumberFormat="1" applyFont="1" applyBorder="1"/>
    <xf numFmtId="44" fontId="6" fillId="0" borderId="0" xfId="0" applyNumberFormat="1" applyFont="1" applyBorder="1"/>
    <xf numFmtId="44" fontId="0" fillId="0" borderId="0" xfId="0" applyNumberFormat="1" applyBorder="1"/>
    <xf numFmtId="164" fontId="4" fillId="0" borderId="0" xfId="0" applyNumberFormat="1" applyFont="1" applyBorder="1"/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wrapText="1"/>
    </xf>
    <xf numFmtId="14" fontId="0" fillId="0" borderId="0" xfId="0" applyNumberFormat="1" applyBorder="1"/>
    <xf numFmtId="0" fontId="4" fillId="0" borderId="3" xfId="0" applyFont="1" applyFill="1" applyBorder="1" applyAlignment="1">
      <alignment wrapText="1"/>
    </xf>
    <xf numFmtId="0" fontId="0" fillId="0" borderId="3" xfId="0" applyBorder="1" applyAlignment="1"/>
    <xf numFmtId="0" fontId="4" fillId="0" borderId="10" xfId="0" applyFont="1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11" xfId="0" applyBorder="1" applyAlignment="1">
      <alignment textRotation="90"/>
    </xf>
    <xf numFmtId="0" fontId="4" fillId="0" borderId="3" xfId="0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5" xfId="0" applyFont="1" applyBorder="1" applyAlignment="1">
      <alignment textRotation="90"/>
    </xf>
  </cellXfs>
  <cellStyles count="9">
    <cellStyle name="Currency" xfId="1" builtinId="4"/>
    <cellStyle name="Currency 3" xfId="5"/>
    <cellStyle name="Followed Hyperlink" xfId="6" builtinId="9" hidden="1"/>
    <cellStyle name="Followed Hyperlink" xfId="7" builtinId="9" hidden="1"/>
    <cellStyle name="Hyperlink" xfId="2" builtinId="8"/>
    <cellStyle name="Normal" xfId="0" builtinId="0"/>
    <cellStyle name="Normal 2" xfId="3"/>
    <cellStyle name="Normal 2 2" xfId="8"/>
    <cellStyle name="Normal 3" xfId="4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Countertop Material Takeoff_1" connectionId="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Railing Schedule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tructural Column Schedule_1" connectionId="1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New Wall Material Takeoff_1" connectionId="1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Floor and Deck Schedule" connectionId="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Mullion Schedule_1" connectionId="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Window Schedule" connectionId="1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oof Schedule_1" connectionId="1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Ceiling Schedule_1" connectionId="2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Door Schedule" connectionId="6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Mullion Schedule" connectionId="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Baseboard Schedule_1" connectionId="1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tructural Beam Framing Schedule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Curtain Panel Material Takeoff_1" connectionId="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4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5" Type="http://schemas.openxmlformats.org/officeDocument/2006/relationships/queryTable" Target="../queryTables/queryTable1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9"/>
  <sheetViews>
    <sheetView tabSelected="1" workbookViewId="0">
      <selection activeCell="G16" sqref="G16"/>
    </sheetView>
  </sheetViews>
  <sheetFormatPr defaultColWidth="8.85546875" defaultRowHeight="12.75" x14ac:dyDescent="0.2"/>
  <cols>
    <col min="1" max="1" width="50.42578125" customWidth="1"/>
    <col min="2" max="2" width="11.85546875" customWidth="1"/>
    <col min="3" max="3" width="25" customWidth="1"/>
    <col min="5" max="5" width="16.5703125" customWidth="1"/>
    <col min="6" max="6" width="14.28515625" customWidth="1"/>
    <col min="7" max="7" width="16.42578125" customWidth="1"/>
    <col min="8" max="8" width="18.85546875" customWidth="1"/>
    <col min="9" max="9" width="9.85546875" bestFit="1" customWidth="1"/>
    <col min="10" max="10" width="12.85546875" customWidth="1"/>
    <col min="11" max="11" width="28" customWidth="1"/>
    <col min="12" max="12" width="7" customWidth="1"/>
    <col min="13" max="13" width="6.7109375" customWidth="1"/>
    <col min="15" max="15" width="3.42578125" customWidth="1"/>
    <col min="16" max="16" width="23.140625" customWidth="1"/>
    <col min="17" max="17" width="5.140625" customWidth="1"/>
    <col min="18" max="18" width="6.28515625" customWidth="1"/>
  </cols>
  <sheetData>
    <row r="2" spans="1:19" x14ac:dyDescent="0.2">
      <c r="A2" t="s">
        <v>483</v>
      </c>
      <c r="C2" s="6" t="s">
        <v>108</v>
      </c>
      <c r="E2" t="s">
        <v>326</v>
      </c>
    </row>
    <row r="3" spans="1:19" x14ac:dyDescent="0.2">
      <c r="A3" s="10" t="s">
        <v>31</v>
      </c>
      <c r="B3" s="11"/>
      <c r="C3" s="10" t="s">
        <v>30</v>
      </c>
      <c r="E3" s="30" t="s">
        <v>325</v>
      </c>
      <c r="F3" s="30"/>
      <c r="G3" s="30"/>
      <c r="H3" s="30" t="s">
        <v>482</v>
      </c>
      <c r="I3" s="5"/>
      <c r="J3" s="5"/>
      <c r="K3" s="5"/>
      <c r="L3" s="5"/>
      <c r="M3" s="5"/>
      <c r="N3" s="48"/>
      <c r="O3" s="48"/>
      <c r="P3" s="48"/>
      <c r="Q3" s="48"/>
    </row>
    <row r="4" spans="1:19" x14ac:dyDescent="0.2">
      <c r="A4" s="11" t="s">
        <v>18</v>
      </c>
      <c r="B4" s="11"/>
      <c r="C4" s="12">
        <v>130000</v>
      </c>
      <c r="D4" s="2"/>
      <c r="E4" s="30"/>
      <c r="H4" s="8" t="s">
        <v>109</v>
      </c>
      <c r="I4" s="60">
        <f>100*500</f>
        <v>50000</v>
      </c>
      <c r="J4" s="5"/>
      <c r="L4" s="48"/>
      <c r="M4" s="5"/>
      <c r="N4" s="48"/>
      <c r="O4" s="48"/>
      <c r="P4" s="48"/>
      <c r="Q4" s="48"/>
    </row>
    <row r="5" spans="1:19" ht="25.5" x14ac:dyDescent="0.2">
      <c r="A5" s="11" t="s">
        <v>19</v>
      </c>
      <c r="B5" s="11"/>
      <c r="C5" s="12">
        <f>F40</f>
        <v>4841.8100000000004</v>
      </c>
      <c r="D5" s="2"/>
      <c r="E5" s="30"/>
      <c r="H5" s="51" t="s">
        <v>81</v>
      </c>
      <c r="I5" s="60">
        <v>8500</v>
      </c>
      <c r="J5" s="7"/>
      <c r="K5" s="7"/>
      <c r="L5" s="7"/>
      <c r="M5" s="5"/>
      <c r="N5" s="48"/>
      <c r="O5" s="48"/>
      <c r="P5" s="7"/>
      <c r="Q5" s="7"/>
      <c r="R5" s="5"/>
      <c r="S5" s="48"/>
    </row>
    <row r="6" spans="1:19" x14ac:dyDescent="0.2">
      <c r="A6" s="11" t="s">
        <v>20</v>
      </c>
      <c r="B6" s="11"/>
      <c r="C6" s="12">
        <f>F53</f>
        <v>2391</v>
      </c>
      <c r="D6" s="2"/>
      <c r="E6" s="30"/>
      <c r="H6" s="8" t="s">
        <v>83</v>
      </c>
      <c r="I6" s="60">
        <v>2000</v>
      </c>
      <c r="J6" s="7"/>
      <c r="K6" s="7"/>
      <c r="L6" s="7"/>
      <c r="M6" s="30"/>
      <c r="N6" s="6"/>
      <c r="O6" s="48"/>
      <c r="P6" s="7"/>
      <c r="Q6" s="7"/>
      <c r="R6" s="30"/>
      <c r="S6" s="6"/>
    </row>
    <row r="7" spans="1:19" x14ac:dyDescent="0.2">
      <c r="A7" s="11" t="s">
        <v>21</v>
      </c>
      <c r="B7" s="11"/>
      <c r="C7" s="12">
        <v>105000</v>
      </c>
      <c r="D7" s="2"/>
      <c r="E7" s="30"/>
      <c r="H7" s="8" t="s">
        <v>82</v>
      </c>
      <c r="I7" s="60">
        <v>1500</v>
      </c>
      <c r="J7" s="7"/>
      <c r="K7" s="7"/>
      <c r="L7" s="7"/>
      <c r="M7" s="30"/>
      <c r="N7" s="6"/>
      <c r="O7" s="48"/>
      <c r="P7" s="7"/>
      <c r="Q7" s="7"/>
      <c r="R7" s="30"/>
      <c r="S7" s="6"/>
    </row>
    <row r="8" spans="1:19" x14ac:dyDescent="0.2">
      <c r="A8" s="10" t="s">
        <v>86</v>
      </c>
      <c r="B8" s="11"/>
      <c r="C8" s="12">
        <v>1600</v>
      </c>
      <c r="D8" s="2"/>
      <c r="E8" s="30"/>
      <c r="H8" s="51" t="s">
        <v>85</v>
      </c>
      <c r="I8" s="60">
        <v>1000</v>
      </c>
      <c r="J8" s="7"/>
      <c r="K8" s="30"/>
      <c r="L8" s="7"/>
      <c r="M8" s="5"/>
      <c r="N8" s="48"/>
      <c r="O8" s="48"/>
      <c r="P8" s="48"/>
      <c r="Q8" s="48"/>
      <c r="R8" s="30"/>
      <c r="S8" s="30"/>
    </row>
    <row r="9" spans="1:19" x14ac:dyDescent="0.2">
      <c r="A9" s="11" t="s">
        <v>28</v>
      </c>
      <c r="B9" s="11"/>
      <c r="C9" s="13">
        <v>7875</v>
      </c>
      <c r="D9" s="2"/>
      <c r="E9" s="58"/>
      <c r="H9" s="8" t="s">
        <v>84</v>
      </c>
      <c r="I9" s="60">
        <v>4000</v>
      </c>
      <c r="J9" s="7"/>
      <c r="K9" s="49"/>
      <c r="L9" s="7"/>
      <c r="M9" s="5"/>
      <c r="N9" s="48"/>
      <c r="O9" s="48"/>
      <c r="P9" s="48"/>
      <c r="Q9" s="48"/>
      <c r="R9" s="30"/>
      <c r="S9" s="30"/>
    </row>
    <row r="10" spans="1:19" x14ac:dyDescent="0.2">
      <c r="A10" s="10" t="s">
        <v>105</v>
      </c>
      <c r="B10" s="11"/>
      <c r="C10" s="13">
        <f>F40+F53</f>
        <v>7232.81</v>
      </c>
      <c r="H10" s="8" t="s">
        <v>111</v>
      </c>
      <c r="I10" s="60">
        <v>2000</v>
      </c>
      <c r="J10" s="30"/>
      <c r="K10" s="64"/>
      <c r="L10" s="30"/>
      <c r="M10" s="30"/>
      <c r="N10" s="48"/>
      <c r="O10" s="48"/>
      <c r="P10" s="48"/>
      <c r="Q10" s="48"/>
      <c r="R10" s="30"/>
      <c r="S10" s="30"/>
    </row>
    <row r="11" spans="1:19" x14ac:dyDescent="0.2">
      <c r="A11" s="10" t="s">
        <v>46</v>
      </c>
      <c r="B11" s="11"/>
      <c r="C11" s="12">
        <f>B59</f>
        <v>2219</v>
      </c>
      <c r="D11" s="2"/>
      <c r="E11" s="30"/>
      <c r="H11" s="9" t="s">
        <v>110</v>
      </c>
      <c r="I11" s="61">
        <v>1000</v>
      </c>
      <c r="J11" s="5"/>
      <c r="K11" s="7"/>
      <c r="L11" s="5"/>
      <c r="M11" s="5"/>
      <c r="N11" s="48"/>
      <c r="O11" s="48"/>
      <c r="P11" s="48"/>
      <c r="Q11" s="48"/>
      <c r="R11" s="30"/>
      <c r="S11" s="30"/>
    </row>
    <row r="12" spans="1:19" x14ac:dyDescent="0.2">
      <c r="A12" s="16" t="s">
        <v>80</v>
      </c>
      <c r="B12" s="11"/>
      <c r="C12" s="57">
        <v>5500</v>
      </c>
      <c r="D12" s="4"/>
      <c r="E12" s="63"/>
      <c r="H12" s="10" t="s">
        <v>62</v>
      </c>
      <c r="I12" s="62">
        <v>5000</v>
      </c>
      <c r="J12" s="5"/>
      <c r="K12" s="5"/>
      <c r="L12" s="5"/>
      <c r="M12" s="5"/>
      <c r="N12" s="48"/>
      <c r="O12" s="48"/>
      <c r="P12" s="48"/>
      <c r="Q12" s="48"/>
      <c r="R12" s="30"/>
      <c r="S12" s="30"/>
    </row>
    <row r="13" spans="1:19" x14ac:dyDescent="0.2">
      <c r="A13" s="99" t="s">
        <v>327</v>
      </c>
      <c r="C13">
        <f>0.0065*(C4+C7)</f>
        <v>1527.5</v>
      </c>
      <c r="E13" s="29"/>
      <c r="H13" s="9"/>
      <c r="I13" s="59"/>
      <c r="J13" s="6"/>
      <c r="K13" s="6"/>
      <c r="L13" s="48"/>
      <c r="M13" s="48"/>
      <c r="N13" s="48"/>
      <c r="O13" s="48"/>
      <c r="P13" s="48"/>
      <c r="Q13" s="48"/>
      <c r="R13" s="30"/>
      <c r="S13" s="30"/>
    </row>
    <row r="14" spans="1:19" x14ac:dyDescent="0.2">
      <c r="A14" s="16" t="s">
        <v>106</v>
      </c>
      <c r="B14" s="11"/>
      <c r="C14" s="12">
        <f>C9+C10-C12</f>
        <v>9607.8100000000013</v>
      </c>
      <c r="D14" s="2"/>
      <c r="E14" s="30"/>
      <c r="H14" s="8"/>
      <c r="I14" s="60">
        <f>SUM(I4:I13)</f>
        <v>75000</v>
      </c>
      <c r="J14" s="6"/>
      <c r="K14" s="6"/>
      <c r="L14" s="6"/>
      <c r="M14" s="48"/>
      <c r="N14" s="48"/>
      <c r="O14" s="48"/>
      <c r="P14" s="48"/>
      <c r="Q14" s="48"/>
      <c r="R14" s="30"/>
      <c r="S14" s="30"/>
    </row>
    <row r="15" spans="1:19" x14ac:dyDescent="0.2">
      <c r="A15" s="11" t="s">
        <v>23</v>
      </c>
      <c r="B15" s="11"/>
      <c r="C15" s="12">
        <f>(C4+C5+C6+C7+C8+C11)-C9-C12-C13</f>
        <v>231149.31</v>
      </c>
      <c r="D15" s="2"/>
      <c r="E15" s="30"/>
      <c r="F15" s="5"/>
      <c r="G15" s="5"/>
      <c r="H15" s="6"/>
      <c r="I15" s="5"/>
      <c r="J15" s="6"/>
      <c r="K15" s="6"/>
      <c r="L15" s="6"/>
      <c r="M15" s="48"/>
      <c r="N15" s="48"/>
      <c r="O15" s="48"/>
      <c r="P15" s="48"/>
      <c r="Q15" s="48"/>
      <c r="R15" s="30"/>
      <c r="S15" s="30"/>
    </row>
    <row r="16" spans="1:19" x14ac:dyDescent="0.2">
      <c r="A16" s="11" t="s">
        <v>24</v>
      </c>
      <c r="B16" s="11"/>
      <c r="C16" s="12">
        <f>1118+(2000/12)+(1250/12)+200</f>
        <v>1588.8333333333335</v>
      </c>
      <c r="D16" s="2"/>
      <c r="E16" s="30"/>
      <c r="F16" s="5"/>
      <c r="G16" s="5"/>
      <c r="H16" s="6"/>
      <c r="I16" s="5"/>
      <c r="J16" s="6"/>
      <c r="K16" s="6"/>
      <c r="L16" s="6"/>
      <c r="M16" s="48"/>
      <c r="N16" s="48"/>
      <c r="O16" s="48"/>
      <c r="P16" s="48"/>
      <c r="Q16" s="48"/>
      <c r="R16" s="30"/>
      <c r="S16" s="30"/>
    </row>
    <row r="17" spans="1:19" x14ac:dyDescent="0.2">
      <c r="A17" s="11" t="s">
        <v>25</v>
      </c>
      <c r="B17" s="11"/>
      <c r="C17" s="12">
        <v>300000</v>
      </c>
      <c r="D17" s="2"/>
      <c r="E17" s="30"/>
      <c r="F17" s="48"/>
      <c r="G17" s="5"/>
      <c r="H17" s="50"/>
      <c r="I17" s="5"/>
      <c r="J17" s="6"/>
      <c r="K17" s="6"/>
      <c r="L17" s="6"/>
      <c r="M17" s="48"/>
      <c r="N17" s="48"/>
      <c r="O17" s="48"/>
      <c r="P17" s="48"/>
      <c r="Q17" s="48"/>
      <c r="R17" s="30"/>
      <c r="S17" s="30"/>
    </row>
    <row r="18" spans="1:19" x14ac:dyDescent="0.2">
      <c r="A18" s="11" t="s">
        <v>107</v>
      </c>
      <c r="B18" s="11"/>
      <c r="C18" s="12">
        <v>15000</v>
      </c>
      <c r="D18" s="2"/>
      <c r="E18" s="30"/>
      <c r="F18" s="48"/>
      <c r="G18" s="48"/>
      <c r="H18" s="48"/>
      <c r="I18" s="5"/>
      <c r="J18" s="6"/>
      <c r="K18" s="6"/>
      <c r="L18" s="6"/>
      <c r="M18" s="48"/>
      <c r="N18" s="48"/>
      <c r="O18" s="48"/>
      <c r="P18" s="48"/>
      <c r="Q18" s="48"/>
      <c r="R18" s="30"/>
      <c r="S18" s="30"/>
    </row>
    <row r="19" spans="1:19" x14ac:dyDescent="0.2">
      <c r="A19" s="11" t="s">
        <v>27</v>
      </c>
      <c r="B19" s="11"/>
      <c r="C19" s="12">
        <f>C17-C15-C18</f>
        <v>53850.69</v>
      </c>
      <c r="D19" s="2"/>
      <c r="E19" s="30"/>
      <c r="F19" s="5"/>
      <c r="G19" s="5"/>
      <c r="H19" s="6"/>
      <c r="I19" s="5"/>
      <c r="J19" s="5"/>
      <c r="K19" s="5"/>
      <c r="L19" s="5"/>
      <c r="M19" s="5"/>
      <c r="N19" s="48"/>
      <c r="O19" s="48"/>
      <c r="P19" s="48"/>
      <c r="Q19" s="48"/>
      <c r="R19" s="30"/>
      <c r="S19" s="30"/>
    </row>
    <row r="20" spans="1:19" x14ac:dyDescent="0.2">
      <c r="A20" s="11" t="s">
        <v>26</v>
      </c>
      <c r="B20" s="11"/>
      <c r="C20" s="13">
        <f>C19-C9</f>
        <v>45975.69</v>
      </c>
      <c r="E20" s="30"/>
      <c r="F20" s="5"/>
      <c r="G20" s="5"/>
      <c r="H20" s="6"/>
      <c r="I20" s="5"/>
      <c r="J20" s="5"/>
      <c r="K20" s="5"/>
      <c r="L20" s="5"/>
      <c r="M20" s="5"/>
      <c r="N20" s="48"/>
      <c r="O20" s="48"/>
      <c r="P20" s="48"/>
      <c r="Q20" s="48"/>
    </row>
    <row r="21" spans="1:19" x14ac:dyDescent="0.2">
      <c r="E21" s="30"/>
      <c r="F21" s="5"/>
      <c r="G21" s="5"/>
      <c r="H21" s="48"/>
      <c r="I21" s="5"/>
      <c r="J21" s="5"/>
      <c r="K21" s="5"/>
      <c r="L21" s="5"/>
      <c r="M21" s="5"/>
      <c r="N21" s="48"/>
      <c r="O21" s="48"/>
      <c r="P21" s="48"/>
      <c r="Q21" s="48"/>
    </row>
    <row r="22" spans="1:19" x14ac:dyDescent="0.2">
      <c r="E22" s="30"/>
      <c r="F22" s="5"/>
      <c r="G22" s="5"/>
      <c r="H22" s="6"/>
      <c r="I22" s="5"/>
      <c r="J22" s="5"/>
      <c r="K22" s="5"/>
      <c r="L22" s="5"/>
      <c r="M22" s="5"/>
      <c r="N22" s="48"/>
      <c r="O22" s="48"/>
      <c r="P22" s="48"/>
      <c r="Q22" s="48"/>
    </row>
    <row r="23" spans="1:19" x14ac:dyDescent="0.2">
      <c r="D23" s="2"/>
      <c r="E23" s="30"/>
      <c r="F23" s="5"/>
      <c r="G23" s="5"/>
      <c r="H23" s="6"/>
      <c r="I23" s="5"/>
      <c r="J23" s="5"/>
      <c r="K23" s="5"/>
      <c r="L23" s="5"/>
      <c r="M23" s="5"/>
      <c r="N23" s="48"/>
      <c r="O23" s="48"/>
      <c r="P23" s="48"/>
      <c r="Q23" s="48"/>
    </row>
    <row r="24" spans="1:19" x14ac:dyDescent="0.2">
      <c r="D24" s="2"/>
      <c r="E24" s="30"/>
      <c r="F24" s="1"/>
      <c r="G24" s="1"/>
      <c r="H24" s="3"/>
      <c r="I24" s="1"/>
      <c r="J24" s="1"/>
      <c r="K24" s="1"/>
      <c r="L24" s="1"/>
      <c r="M24" s="1"/>
      <c r="N24" s="30"/>
      <c r="O24" s="30"/>
      <c r="P24" s="30"/>
      <c r="Q24" s="30"/>
    </row>
    <row r="25" spans="1:19" x14ac:dyDescent="0.2">
      <c r="A25" s="15" t="s">
        <v>101</v>
      </c>
      <c r="D25" s="15" t="s">
        <v>102</v>
      </c>
      <c r="F25" s="1"/>
      <c r="G25" s="1"/>
      <c r="H25" s="3"/>
      <c r="I25" s="1"/>
      <c r="J25" s="1"/>
      <c r="K25" s="1"/>
      <c r="L25" s="1"/>
      <c r="M25" s="1"/>
    </row>
    <row r="26" spans="1:19" x14ac:dyDescent="0.2">
      <c r="A26" s="11" t="s">
        <v>32</v>
      </c>
      <c r="B26" s="11">
        <v>795</v>
      </c>
      <c r="D26" s="10" t="s">
        <v>88</v>
      </c>
      <c r="E26" s="10"/>
      <c r="F26" s="52">
        <v>3090</v>
      </c>
      <c r="G26" s="1"/>
      <c r="H26" s="3"/>
      <c r="I26" s="1"/>
      <c r="J26" s="1"/>
      <c r="K26" s="1"/>
      <c r="L26" s="1"/>
      <c r="M26" s="1"/>
    </row>
    <row r="27" spans="1:19" x14ac:dyDescent="0.2">
      <c r="A27" s="11" t="s">
        <v>33</v>
      </c>
      <c r="B27" s="11">
        <v>500</v>
      </c>
      <c r="D27" s="10" t="s">
        <v>36</v>
      </c>
      <c r="E27" s="10"/>
      <c r="F27" s="10">
        <v>13.25</v>
      </c>
    </row>
    <row r="28" spans="1:19" x14ac:dyDescent="0.2">
      <c r="A28" s="11" t="s">
        <v>36</v>
      </c>
      <c r="B28" s="11">
        <v>15</v>
      </c>
      <c r="D28" s="10" t="s">
        <v>22</v>
      </c>
      <c r="E28" s="10"/>
      <c r="F28" s="10">
        <v>495</v>
      </c>
    </row>
    <row r="29" spans="1:19" x14ac:dyDescent="0.2">
      <c r="A29" s="11" t="s">
        <v>37</v>
      </c>
      <c r="B29" s="11">
        <v>375</v>
      </c>
      <c r="D29" s="10" t="s">
        <v>53</v>
      </c>
      <c r="E29" s="10"/>
      <c r="F29" s="52">
        <v>78</v>
      </c>
      <c r="I29" s="1"/>
      <c r="J29" s="1"/>
      <c r="K29" s="1"/>
      <c r="L29" s="1"/>
      <c r="M29" s="1"/>
    </row>
    <row r="30" spans="1:19" x14ac:dyDescent="0.2">
      <c r="A30" s="11" t="s">
        <v>38</v>
      </c>
      <c r="B30" s="11">
        <v>820</v>
      </c>
      <c r="D30" s="10" t="s">
        <v>89</v>
      </c>
      <c r="E30" s="10"/>
      <c r="F30" s="52">
        <v>19</v>
      </c>
      <c r="I30" s="1"/>
      <c r="J30" s="1"/>
      <c r="K30" s="1"/>
      <c r="L30" s="1"/>
      <c r="M30" s="1"/>
    </row>
    <row r="31" spans="1:19" x14ac:dyDescent="0.2">
      <c r="A31" s="11" t="s">
        <v>39</v>
      </c>
      <c r="B31" s="11">
        <v>2000</v>
      </c>
      <c r="D31" s="10" t="s">
        <v>90</v>
      </c>
      <c r="E31" s="10"/>
      <c r="F31" s="52">
        <v>360</v>
      </c>
      <c r="I31" s="1"/>
      <c r="J31" s="1"/>
      <c r="K31" s="1"/>
      <c r="L31" s="1"/>
      <c r="M31" s="1"/>
    </row>
    <row r="32" spans="1:19" x14ac:dyDescent="0.2">
      <c r="A32" s="11" t="s">
        <v>40</v>
      </c>
      <c r="B32" s="11">
        <v>19</v>
      </c>
      <c r="D32" s="10" t="s">
        <v>91</v>
      </c>
      <c r="E32" s="10"/>
      <c r="F32" s="52">
        <v>98.56</v>
      </c>
      <c r="I32" s="1"/>
      <c r="J32" s="1"/>
      <c r="K32" s="1"/>
      <c r="L32" s="1"/>
      <c r="M32" s="1"/>
    </row>
    <row r="33" spans="1:6" x14ac:dyDescent="0.2">
      <c r="A33" s="11" t="s">
        <v>41</v>
      </c>
      <c r="B33" s="11">
        <v>193</v>
      </c>
      <c r="D33" s="10" t="s">
        <v>92</v>
      </c>
      <c r="E33" s="10"/>
      <c r="F33" s="52">
        <v>300</v>
      </c>
    </row>
    <row r="34" spans="1:6" x14ac:dyDescent="0.2">
      <c r="A34" s="11" t="s">
        <v>42</v>
      </c>
      <c r="B34" s="11">
        <v>18.63</v>
      </c>
      <c r="D34" s="10" t="s">
        <v>93</v>
      </c>
      <c r="E34" s="10"/>
      <c r="F34" s="52">
        <v>95</v>
      </c>
    </row>
    <row r="35" spans="1:6" x14ac:dyDescent="0.2">
      <c r="A35" s="10" t="s">
        <v>44</v>
      </c>
      <c r="B35" s="11">
        <v>300</v>
      </c>
      <c r="D35" s="10" t="s">
        <v>94</v>
      </c>
      <c r="E35" s="10"/>
      <c r="F35" s="52">
        <v>35</v>
      </c>
    </row>
    <row r="36" spans="1:6" x14ac:dyDescent="0.2">
      <c r="A36" s="11" t="s">
        <v>34</v>
      </c>
      <c r="B36" s="11">
        <v>450</v>
      </c>
      <c r="D36" s="10" t="s">
        <v>95</v>
      </c>
      <c r="E36" s="10"/>
      <c r="F36" s="52">
        <v>126</v>
      </c>
    </row>
    <row r="37" spans="1:6" x14ac:dyDescent="0.2">
      <c r="A37" s="14" t="s">
        <v>43</v>
      </c>
      <c r="B37" s="14">
        <f>SUM(B26:B36)</f>
        <v>5485.63</v>
      </c>
      <c r="D37" s="10" t="s">
        <v>96</v>
      </c>
      <c r="E37" s="10"/>
      <c r="F37" s="52">
        <v>16</v>
      </c>
    </row>
    <row r="38" spans="1:6" x14ac:dyDescent="0.2">
      <c r="A38" s="25"/>
      <c r="B38" s="25"/>
      <c r="C38" s="27"/>
      <c r="D38" s="10" t="s">
        <v>97</v>
      </c>
      <c r="E38" s="10"/>
      <c r="F38" s="52">
        <v>16</v>
      </c>
    </row>
    <row r="39" spans="1:6" x14ac:dyDescent="0.2">
      <c r="A39" s="25"/>
      <c r="B39" s="25"/>
      <c r="C39" s="27"/>
      <c r="D39" s="10" t="s">
        <v>98</v>
      </c>
      <c r="E39" s="10"/>
      <c r="F39" s="52">
        <v>100</v>
      </c>
    </row>
    <row r="40" spans="1:6" x14ac:dyDescent="0.2">
      <c r="A40" s="25"/>
      <c r="B40" s="25"/>
      <c r="C40" s="27"/>
      <c r="D40" s="14" t="s">
        <v>100</v>
      </c>
      <c r="E40" s="14"/>
      <c r="F40" s="53">
        <f>SUM(F26:F39)</f>
        <v>4841.8100000000004</v>
      </c>
    </row>
    <row r="41" spans="1:6" x14ac:dyDescent="0.2">
      <c r="A41" s="25"/>
      <c r="B41" s="25"/>
      <c r="C41" s="27"/>
      <c r="D41" s="54"/>
      <c r="E41" s="14"/>
      <c r="F41" s="14"/>
    </row>
    <row r="42" spans="1:6" x14ac:dyDescent="0.2">
      <c r="A42" s="25"/>
      <c r="B42" s="25"/>
      <c r="C42" s="28"/>
      <c r="D42" s="14" t="s">
        <v>99</v>
      </c>
      <c r="E42" s="14"/>
      <c r="F42" s="55">
        <v>1795.86</v>
      </c>
    </row>
    <row r="43" spans="1:6" x14ac:dyDescent="0.2">
      <c r="D43" s="25"/>
    </row>
    <row r="46" spans="1:6" x14ac:dyDescent="0.2">
      <c r="A46" s="25"/>
      <c r="B46" s="25"/>
      <c r="C46" s="26"/>
    </row>
    <row r="48" spans="1:6" x14ac:dyDescent="0.2">
      <c r="A48" s="14" t="s">
        <v>103</v>
      </c>
      <c r="B48" s="11"/>
      <c r="D48" s="14" t="s">
        <v>103</v>
      </c>
      <c r="E48" s="11"/>
    </row>
    <row r="49" spans="1:7" x14ac:dyDescent="0.2">
      <c r="A49" s="10" t="s">
        <v>87</v>
      </c>
      <c r="B49" s="11">
        <v>307</v>
      </c>
      <c r="D49" s="10" t="s">
        <v>87</v>
      </c>
      <c r="E49" s="11"/>
      <c r="F49" s="11">
        <v>307</v>
      </c>
    </row>
    <row r="50" spans="1:7" x14ac:dyDescent="0.2">
      <c r="A50" s="16" t="s">
        <v>50</v>
      </c>
      <c r="B50" s="18">
        <f>(2000/12)*4</f>
        <v>666.66666666666663</v>
      </c>
      <c r="D50" s="16" t="s">
        <v>50</v>
      </c>
      <c r="E50" s="11"/>
      <c r="F50" s="18">
        <v>1583</v>
      </c>
    </row>
    <row r="51" spans="1:7" x14ac:dyDescent="0.2">
      <c r="A51" s="16" t="s">
        <v>51</v>
      </c>
      <c r="B51" s="11">
        <f>(1250/12)*15</f>
        <v>1562.5</v>
      </c>
      <c r="D51" s="233" t="s">
        <v>51</v>
      </c>
      <c r="E51" s="234"/>
      <c r="F51" s="11">
        <v>1000</v>
      </c>
    </row>
    <row r="52" spans="1:7" x14ac:dyDescent="0.2">
      <c r="A52" s="16" t="s">
        <v>7</v>
      </c>
      <c r="B52" s="19">
        <f>SUM(B49:B51)</f>
        <v>2536.1666666666665</v>
      </c>
      <c r="D52" s="16" t="s">
        <v>104</v>
      </c>
      <c r="E52" s="11"/>
      <c r="F52" s="56">
        <v>499</v>
      </c>
    </row>
    <row r="53" spans="1:7" x14ac:dyDescent="0.2">
      <c r="D53" s="16" t="s">
        <v>7</v>
      </c>
      <c r="E53" s="11"/>
      <c r="F53" s="19">
        <f>SUM(F49:F51)-F52</f>
        <v>2391</v>
      </c>
    </row>
    <row r="54" spans="1:7" x14ac:dyDescent="0.2">
      <c r="A54" s="15" t="s">
        <v>47</v>
      </c>
      <c r="B54" s="20">
        <f>B37+B52</f>
        <v>8021.7966666666671</v>
      </c>
      <c r="C54" s="4" t="s">
        <v>48</v>
      </c>
    </row>
    <row r="55" spans="1:7" x14ac:dyDescent="0.2">
      <c r="A55" s="15" t="s">
        <v>49</v>
      </c>
      <c r="B55" s="17">
        <f>C4+B54</f>
        <v>138021.79666666666</v>
      </c>
      <c r="G55" s="4" t="s">
        <v>112</v>
      </c>
    </row>
    <row r="56" spans="1:7" x14ac:dyDescent="0.2">
      <c r="D56" s="15"/>
    </row>
    <row r="58" spans="1:7" x14ac:dyDescent="0.2">
      <c r="A58" s="14" t="s">
        <v>45</v>
      </c>
      <c r="B58" s="11"/>
    </row>
    <row r="59" spans="1:7" x14ac:dyDescent="0.2">
      <c r="A59" s="11" t="s">
        <v>35</v>
      </c>
      <c r="B59" s="14">
        <v>2219</v>
      </c>
    </row>
  </sheetData>
  <mergeCells count="1">
    <mergeCell ref="D51:E5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9"/>
  <sheetViews>
    <sheetView topLeftCell="C1" zoomScaleNormal="100" workbookViewId="0">
      <pane ySplit="2" topLeftCell="A3" activePane="bottomLeft" state="frozen"/>
      <selection activeCell="B1" sqref="B1"/>
      <selection pane="bottomLeft" activeCell="V1" sqref="V1:V1048576"/>
    </sheetView>
  </sheetViews>
  <sheetFormatPr defaultColWidth="8.85546875" defaultRowHeight="12.75" outlineLevelRow="1" outlineLevelCol="1" x14ac:dyDescent="0.2"/>
  <cols>
    <col min="1" max="1" width="12" customWidth="1"/>
    <col min="2" max="2" width="13.5703125" customWidth="1"/>
    <col min="3" max="3" width="50.42578125" customWidth="1"/>
    <col min="4" max="4" width="21.85546875" customWidth="1" outlineLevel="1"/>
    <col min="5" max="5" width="11.28515625" customWidth="1" outlineLevel="1"/>
    <col min="6" max="6" width="13.140625" customWidth="1" outlineLevel="1"/>
    <col min="7" max="7" width="12.5703125" customWidth="1" outlineLevel="1"/>
    <col min="8" max="8" width="12.85546875" customWidth="1" outlineLevel="1"/>
    <col min="9" max="9" width="13.42578125" customWidth="1"/>
    <col min="10" max="10" width="14.42578125" hidden="1" customWidth="1" outlineLevel="1"/>
    <col min="11" max="14" width="15.5703125" hidden="1" customWidth="1" outlineLevel="1"/>
    <col min="15" max="15" width="15.5703125" customWidth="1" collapsed="1"/>
    <col min="16" max="16" width="15.5703125" hidden="1" customWidth="1" outlineLevel="1"/>
    <col min="17" max="17" width="11.28515625" style="167" hidden="1" customWidth="1" outlineLevel="1"/>
    <col min="18" max="18" width="12.28515625" hidden="1" customWidth="1" outlineLevel="1"/>
    <col min="19" max="19" width="11.5703125" hidden="1" customWidth="1" outlineLevel="1"/>
    <col min="20" max="20" width="12.28515625" customWidth="1" collapsed="1"/>
    <col min="21" max="21" width="14" customWidth="1"/>
  </cols>
  <sheetData>
    <row r="1" spans="1:21" x14ac:dyDescent="0.2">
      <c r="C1" s="85" t="s">
        <v>463</v>
      </c>
    </row>
    <row r="2" spans="1:21" ht="45" x14ac:dyDescent="0.25">
      <c r="A2" s="15" t="s">
        <v>440</v>
      </c>
      <c r="B2" s="15" t="s">
        <v>371</v>
      </c>
      <c r="C2" s="31" t="s">
        <v>31</v>
      </c>
      <c r="D2" s="32" t="s">
        <v>54</v>
      </c>
      <c r="E2" s="102" t="s">
        <v>368</v>
      </c>
      <c r="F2" s="103" t="s">
        <v>369</v>
      </c>
      <c r="G2" s="103" t="s">
        <v>370</v>
      </c>
      <c r="H2" s="104" t="s">
        <v>55</v>
      </c>
      <c r="I2" s="104" t="s">
        <v>468</v>
      </c>
      <c r="J2" s="104" t="s">
        <v>475</v>
      </c>
      <c r="K2" s="104" t="s">
        <v>415</v>
      </c>
      <c r="L2" s="104" t="s">
        <v>469</v>
      </c>
      <c r="M2" s="104" t="s">
        <v>470</v>
      </c>
      <c r="N2" s="104" t="s">
        <v>474</v>
      </c>
      <c r="O2" s="104" t="s">
        <v>441</v>
      </c>
      <c r="P2" s="104" t="s">
        <v>442</v>
      </c>
      <c r="Q2" s="168" t="s">
        <v>443</v>
      </c>
      <c r="R2" s="104" t="s">
        <v>471</v>
      </c>
      <c r="S2" s="104" t="s">
        <v>466</v>
      </c>
      <c r="T2" s="104" t="s">
        <v>467</v>
      </c>
      <c r="U2" s="104" t="s">
        <v>477</v>
      </c>
    </row>
    <row r="3" spans="1:21" x14ac:dyDescent="0.2">
      <c r="A3" s="76">
        <v>35</v>
      </c>
      <c r="C3" s="33" t="s">
        <v>473</v>
      </c>
      <c r="D3" s="34"/>
      <c r="E3" s="35"/>
      <c r="F3" s="36">
        <f>SUM(F4:F5)</f>
        <v>0</v>
      </c>
      <c r="G3" s="36"/>
      <c r="H3" s="36">
        <f>SUM(H4:H5)</f>
        <v>300</v>
      </c>
      <c r="I3" s="36">
        <f t="shared" ref="I3:I30" si="0">F3+H3</f>
        <v>300</v>
      </c>
      <c r="J3" s="36">
        <f>SUM(J4:J5)</f>
        <v>127.87</v>
      </c>
      <c r="K3" s="36">
        <f>SUM(K4:K5)</f>
        <v>172.13</v>
      </c>
      <c r="L3" s="36">
        <v>0</v>
      </c>
      <c r="M3" s="45">
        <v>128</v>
      </c>
      <c r="N3" s="45"/>
      <c r="O3" s="36">
        <v>300</v>
      </c>
      <c r="P3" s="36">
        <f>O3-I3</f>
        <v>0</v>
      </c>
      <c r="Q3" s="169">
        <f>R3/O3</f>
        <v>0</v>
      </c>
      <c r="R3" s="36"/>
      <c r="S3" s="36"/>
      <c r="T3" s="36">
        <v>0</v>
      </c>
      <c r="U3" s="175"/>
    </row>
    <row r="4" spans="1:21" outlineLevel="1" x14ac:dyDescent="0.2">
      <c r="A4" s="76">
        <v>35</v>
      </c>
      <c r="B4" s="76">
        <v>1</v>
      </c>
      <c r="C4" s="31" t="s">
        <v>56</v>
      </c>
      <c r="D4" s="37">
        <v>1</v>
      </c>
      <c r="E4" s="38"/>
      <c r="F4" s="39"/>
      <c r="G4" s="40">
        <v>300</v>
      </c>
      <c r="H4" s="41">
        <f>G4*D4</f>
        <v>300</v>
      </c>
      <c r="I4" s="41">
        <f t="shared" si="0"/>
        <v>300</v>
      </c>
      <c r="J4" s="98">
        <v>127.87</v>
      </c>
      <c r="K4" s="98">
        <f>I4-J4</f>
        <v>172.13</v>
      </c>
      <c r="L4" s="98">
        <v>0</v>
      </c>
      <c r="M4" s="98">
        <f t="shared" ref="M4:M6" si="1">J4-L4</f>
        <v>127.87</v>
      </c>
      <c r="N4" s="98"/>
      <c r="O4" s="98">
        <v>300</v>
      </c>
      <c r="P4" s="98" t="s">
        <v>444</v>
      </c>
      <c r="Q4" s="171">
        <f>R4/O4</f>
        <v>0.42666666666666669</v>
      </c>
      <c r="R4" s="98">
        <v>128</v>
      </c>
      <c r="S4" s="98"/>
      <c r="T4" s="98">
        <f>R4-S4</f>
        <v>128</v>
      </c>
      <c r="U4" s="90"/>
    </row>
    <row r="5" spans="1:21" outlineLevel="1" x14ac:dyDescent="0.2">
      <c r="A5" s="76">
        <v>35</v>
      </c>
      <c r="B5" s="76">
        <v>2</v>
      </c>
      <c r="C5" s="31" t="s">
        <v>57</v>
      </c>
      <c r="D5" s="37">
        <v>6</v>
      </c>
      <c r="E5" s="40">
        <v>120</v>
      </c>
      <c r="F5" s="41">
        <v>0</v>
      </c>
      <c r="G5" s="41"/>
      <c r="I5" s="98">
        <v>0</v>
      </c>
      <c r="K5" s="98">
        <f>I5-J5</f>
        <v>0</v>
      </c>
      <c r="L5" s="98">
        <v>0</v>
      </c>
      <c r="M5" s="98">
        <f t="shared" si="1"/>
        <v>0</v>
      </c>
      <c r="N5" s="98"/>
      <c r="O5" s="98" t="s">
        <v>444</v>
      </c>
      <c r="P5" s="98" t="s">
        <v>444</v>
      </c>
      <c r="Q5" s="170"/>
      <c r="R5" s="98"/>
      <c r="S5" s="98"/>
      <c r="T5" s="98"/>
      <c r="U5" s="90"/>
    </row>
    <row r="6" spans="1:21" x14ac:dyDescent="0.2">
      <c r="A6" s="76">
        <v>17</v>
      </c>
      <c r="B6" s="76"/>
      <c r="C6" s="172" t="s">
        <v>58</v>
      </c>
      <c r="D6" s="173"/>
      <c r="E6" s="174"/>
      <c r="F6" s="175">
        <f>SUM(F7:F7)</f>
        <v>950</v>
      </c>
      <c r="G6" s="175"/>
      <c r="H6" s="176"/>
      <c r="I6" s="175">
        <f t="shared" si="0"/>
        <v>950</v>
      </c>
      <c r="J6" s="175">
        <f>SUM(J7:J7)</f>
        <v>950</v>
      </c>
      <c r="K6" s="175">
        <f>SUM(K7:K7)</f>
        <v>0</v>
      </c>
      <c r="L6" s="175">
        <v>950</v>
      </c>
      <c r="M6" s="175">
        <f t="shared" si="1"/>
        <v>0</v>
      </c>
      <c r="N6" s="175"/>
      <c r="O6" s="175">
        <v>950</v>
      </c>
      <c r="P6" s="175">
        <f>O6-I6</f>
        <v>0</v>
      </c>
      <c r="Q6" s="177">
        <f>R6/O6</f>
        <v>1</v>
      </c>
      <c r="R6" s="175">
        <v>950</v>
      </c>
      <c r="S6" s="175">
        <v>950</v>
      </c>
      <c r="T6" s="215">
        <f>R6-S6</f>
        <v>0</v>
      </c>
      <c r="U6" s="175"/>
    </row>
    <row r="7" spans="1:21" outlineLevel="1" x14ac:dyDescent="0.2">
      <c r="A7" s="76">
        <v>17</v>
      </c>
      <c r="B7" s="76">
        <v>3</v>
      </c>
      <c r="C7" s="166" t="s">
        <v>59</v>
      </c>
      <c r="D7" s="88">
        <v>1</v>
      </c>
      <c r="E7" s="89">
        <v>950</v>
      </c>
      <c r="F7" s="90">
        <f>E7*D7</f>
        <v>950</v>
      </c>
      <c r="G7" s="90"/>
      <c r="H7" s="11"/>
      <c r="I7" s="90">
        <f t="shared" si="0"/>
        <v>950</v>
      </c>
      <c r="J7" s="90">
        <v>950</v>
      </c>
      <c r="K7" s="90">
        <f>I7-J7</f>
        <v>0</v>
      </c>
      <c r="L7" s="90">
        <v>0</v>
      </c>
      <c r="M7" s="90">
        <f>J7-L7</f>
        <v>950</v>
      </c>
      <c r="N7" s="90"/>
      <c r="O7" s="90" t="s">
        <v>444</v>
      </c>
      <c r="P7" s="90" t="s">
        <v>444</v>
      </c>
      <c r="Q7" s="178"/>
      <c r="R7" s="90"/>
      <c r="S7" s="90"/>
      <c r="T7" s="216"/>
      <c r="U7" s="90"/>
    </row>
    <row r="8" spans="1:21" x14ac:dyDescent="0.2">
      <c r="A8" s="76">
        <v>1</v>
      </c>
      <c r="B8" s="76"/>
      <c r="C8" s="172" t="s">
        <v>462</v>
      </c>
      <c r="D8" s="179"/>
      <c r="E8" s="180"/>
      <c r="F8" s="175">
        <f>SUM(F9:F9)</f>
        <v>3000</v>
      </c>
      <c r="G8" s="175">
        <f>G9</f>
        <v>800</v>
      </c>
      <c r="H8" s="175">
        <f>SUM(H9:H9)</f>
        <v>1500</v>
      </c>
      <c r="I8" s="175">
        <f>SUM(I9:I9)</f>
        <v>7854</v>
      </c>
      <c r="J8" s="175">
        <f>SUM(J9:J9)</f>
        <v>7853.75</v>
      </c>
      <c r="K8" s="175">
        <f>SUM(K9:K9)</f>
        <v>0.25</v>
      </c>
      <c r="L8" s="175">
        <v>0</v>
      </c>
      <c r="M8" s="175">
        <v>7854</v>
      </c>
      <c r="N8" s="175"/>
      <c r="O8" s="175">
        <v>2300</v>
      </c>
      <c r="P8" s="175">
        <f>O8-I8</f>
        <v>-5554</v>
      </c>
      <c r="Q8" s="177">
        <f>R8/O8</f>
        <v>1</v>
      </c>
      <c r="R8" s="175">
        <v>2300</v>
      </c>
      <c r="S8" s="175"/>
      <c r="T8" s="215">
        <f>R8-S8</f>
        <v>2300</v>
      </c>
      <c r="U8" s="175"/>
    </row>
    <row r="9" spans="1:21" outlineLevel="1" x14ac:dyDescent="0.2">
      <c r="A9" s="76">
        <v>1</v>
      </c>
      <c r="B9" s="76">
        <v>4</v>
      </c>
      <c r="C9" s="87" t="s">
        <v>138</v>
      </c>
      <c r="D9" s="88">
        <v>14</v>
      </c>
      <c r="E9" s="181">
        <v>255</v>
      </c>
      <c r="F9" s="90">
        <v>3000</v>
      </c>
      <c r="G9" s="90">
        <v>800</v>
      </c>
      <c r="H9" s="95">
        <v>1500</v>
      </c>
      <c r="I9" s="90">
        <v>7854</v>
      </c>
      <c r="J9" s="90">
        <f>5816.25+2037.5</f>
        <v>7853.75</v>
      </c>
      <c r="K9" s="90">
        <f>I9-J9</f>
        <v>0.25</v>
      </c>
      <c r="L9" s="90">
        <v>0</v>
      </c>
      <c r="M9" s="90">
        <f t="shared" ref="M9:M69" si="2">J9-L9</f>
        <v>7853.75</v>
      </c>
      <c r="N9" s="90"/>
      <c r="O9" s="90" t="s">
        <v>444</v>
      </c>
      <c r="P9" s="90" t="s">
        <v>444</v>
      </c>
      <c r="Q9" s="178"/>
      <c r="R9" s="90"/>
      <c r="S9" s="90"/>
      <c r="T9" s="216"/>
      <c r="U9" s="90"/>
    </row>
    <row r="10" spans="1:21" x14ac:dyDescent="0.2">
      <c r="A10" s="76">
        <v>17</v>
      </c>
      <c r="C10" s="172" t="s">
        <v>267</v>
      </c>
      <c r="D10" s="173"/>
      <c r="E10" s="182"/>
      <c r="F10" s="175">
        <f>SUM(F11:F15)</f>
        <v>1600</v>
      </c>
      <c r="G10" s="175"/>
      <c r="H10" s="175">
        <f>SUM(H11:H16)</f>
        <v>19686.71</v>
      </c>
      <c r="I10" s="175">
        <f>F10+H10</f>
        <v>21286.71</v>
      </c>
      <c r="J10" s="175">
        <f>SUM(J11:J16)</f>
        <v>18101.2</v>
      </c>
      <c r="K10" s="175">
        <f>SUM(K11:K16)</f>
        <v>2922.5099999999993</v>
      </c>
      <c r="L10" s="175">
        <v>9941</v>
      </c>
      <c r="M10" s="175">
        <v>7900</v>
      </c>
      <c r="N10" s="175">
        <f>J10-L10-M10</f>
        <v>260.20000000000073</v>
      </c>
      <c r="O10" s="175">
        <f>16751-O6</f>
        <v>15801</v>
      </c>
      <c r="P10" s="175">
        <f>O10-I10</f>
        <v>-5485.7099999999991</v>
      </c>
      <c r="Q10" s="177">
        <f>R10/O10</f>
        <v>0.99999683564331376</v>
      </c>
      <c r="R10" s="175">
        <f>S10+T10+U10</f>
        <v>15800.95</v>
      </c>
      <c r="S10" s="175">
        <v>4580</v>
      </c>
      <c r="T10" s="215">
        <v>10382.950000000001</v>
      </c>
      <c r="U10" s="175">
        <v>838</v>
      </c>
    </row>
    <row r="11" spans="1:21" outlineLevel="1" x14ac:dyDescent="0.2">
      <c r="A11" s="76">
        <v>17</v>
      </c>
      <c r="B11">
        <v>6</v>
      </c>
      <c r="C11" s="87" t="s">
        <v>434</v>
      </c>
      <c r="D11" s="88">
        <v>792</v>
      </c>
      <c r="E11" s="181"/>
      <c r="F11" s="90">
        <f>20*40*2</f>
        <v>1600</v>
      </c>
      <c r="G11" s="181"/>
      <c r="H11" s="90">
        <v>7994</v>
      </c>
      <c r="I11" s="90">
        <f>H11</f>
        <v>7994</v>
      </c>
      <c r="J11" s="90">
        <v>5571.8</v>
      </c>
      <c r="K11" s="90">
        <f t="shared" ref="K11:K16" si="3">I11-J11</f>
        <v>2422.1999999999998</v>
      </c>
      <c r="L11" s="90">
        <v>2936</v>
      </c>
      <c r="M11" s="90">
        <v>2548</v>
      </c>
      <c r="N11" s="90">
        <f>J11-L11-M11</f>
        <v>87.800000000000182</v>
      </c>
      <c r="O11" s="90" t="s">
        <v>444</v>
      </c>
      <c r="P11" s="90" t="s">
        <v>444</v>
      </c>
      <c r="Q11" s="178"/>
      <c r="R11" s="90"/>
      <c r="S11" s="90"/>
      <c r="T11" s="216"/>
      <c r="U11" s="90"/>
    </row>
    <row r="12" spans="1:21" outlineLevel="1" x14ac:dyDescent="0.2">
      <c r="A12" s="76">
        <v>17</v>
      </c>
      <c r="B12">
        <v>6.1</v>
      </c>
      <c r="C12" s="87" t="s">
        <v>308</v>
      </c>
      <c r="D12" s="88">
        <v>55</v>
      </c>
      <c r="E12" s="181"/>
      <c r="F12" s="90"/>
      <c r="G12" s="181"/>
      <c r="H12" s="90">
        <v>500</v>
      </c>
      <c r="I12" s="90">
        <f t="shared" si="0"/>
        <v>500</v>
      </c>
      <c r="J12" s="90">
        <v>0</v>
      </c>
      <c r="K12" s="90">
        <f t="shared" si="3"/>
        <v>500</v>
      </c>
      <c r="L12" s="90">
        <v>0</v>
      </c>
      <c r="M12" s="90">
        <f t="shared" si="2"/>
        <v>0</v>
      </c>
      <c r="N12" s="90"/>
      <c r="O12" s="90" t="s">
        <v>444</v>
      </c>
      <c r="P12" s="90" t="s">
        <v>444</v>
      </c>
      <c r="Q12" s="178"/>
      <c r="R12" s="90"/>
      <c r="S12" s="90"/>
      <c r="T12" s="216"/>
      <c r="U12" s="90"/>
    </row>
    <row r="13" spans="1:21" outlineLevel="1" x14ac:dyDescent="0.2">
      <c r="A13" s="76">
        <v>17</v>
      </c>
      <c r="B13">
        <v>6.2</v>
      </c>
      <c r="C13" s="87" t="s">
        <v>309</v>
      </c>
      <c r="D13" s="88">
        <v>330</v>
      </c>
      <c r="E13" s="181"/>
      <c r="F13" s="90"/>
      <c r="G13" s="181"/>
      <c r="H13" s="90">
        <v>327</v>
      </c>
      <c r="I13" s="90">
        <f t="shared" si="0"/>
        <v>327</v>
      </c>
      <c r="J13" s="90">
        <v>326.5</v>
      </c>
      <c r="K13" s="90">
        <f t="shared" si="3"/>
        <v>0.5</v>
      </c>
      <c r="L13" s="90">
        <v>327</v>
      </c>
      <c r="M13" s="90">
        <f t="shared" si="2"/>
        <v>-0.5</v>
      </c>
      <c r="N13" s="90"/>
      <c r="O13" s="90" t="s">
        <v>444</v>
      </c>
      <c r="P13" s="90" t="s">
        <v>444</v>
      </c>
      <c r="Q13" s="178"/>
      <c r="R13" s="90"/>
      <c r="S13" s="90"/>
      <c r="T13" s="216"/>
      <c r="U13" s="90"/>
    </row>
    <row r="14" spans="1:21" outlineLevel="1" x14ac:dyDescent="0.2">
      <c r="A14" s="76">
        <v>17</v>
      </c>
      <c r="B14">
        <v>7</v>
      </c>
      <c r="C14" s="87" t="s">
        <v>446</v>
      </c>
      <c r="D14" s="88">
        <f>'Material Takeoff'!B87</f>
        <v>31</v>
      </c>
      <c r="E14" s="181"/>
      <c r="F14" s="11"/>
      <c r="G14" s="183"/>
      <c r="H14" s="90">
        <v>3518</v>
      </c>
      <c r="I14" s="90">
        <f t="shared" si="0"/>
        <v>3518</v>
      </c>
      <c r="J14" s="90">
        <v>3518.09</v>
      </c>
      <c r="K14" s="90">
        <f t="shared" si="3"/>
        <v>-9.0000000000145519E-2</v>
      </c>
      <c r="L14" s="90">
        <v>3518</v>
      </c>
      <c r="M14" s="90">
        <v>0</v>
      </c>
      <c r="N14" s="90"/>
      <c r="O14" s="90" t="s">
        <v>444</v>
      </c>
      <c r="P14" s="90" t="s">
        <v>444</v>
      </c>
      <c r="Q14" s="178"/>
      <c r="R14" s="90"/>
      <c r="S14" s="90"/>
      <c r="T14" s="216"/>
      <c r="U14" s="90"/>
    </row>
    <row r="15" spans="1:21" outlineLevel="1" x14ac:dyDescent="0.2">
      <c r="A15" s="76">
        <v>17</v>
      </c>
      <c r="B15">
        <v>9</v>
      </c>
      <c r="C15" s="87" t="s">
        <v>209</v>
      </c>
      <c r="D15" s="88"/>
      <c r="E15" s="181"/>
      <c r="F15" s="90"/>
      <c r="G15" s="11"/>
      <c r="H15" s="181">
        <v>3160</v>
      </c>
      <c r="I15" s="90">
        <v>4497</v>
      </c>
      <c r="J15" s="90">
        <v>4497.1000000000004</v>
      </c>
      <c r="K15" s="90">
        <f t="shared" si="3"/>
        <v>-0.1000000000003638</v>
      </c>
      <c r="L15" s="90">
        <v>3160</v>
      </c>
      <c r="M15" s="90">
        <v>1165</v>
      </c>
      <c r="N15" s="90">
        <f>J15-L15-M15</f>
        <v>172.10000000000036</v>
      </c>
      <c r="O15" s="90" t="s">
        <v>444</v>
      </c>
      <c r="P15" s="90" t="s">
        <v>52</v>
      </c>
      <c r="Q15" s="178"/>
      <c r="R15" s="90"/>
      <c r="S15" s="90"/>
      <c r="T15" s="216"/>
      <c r="U15" s="90"/>
    </row>
    <row r="16" spans="1:21" outlineLevel="1" x14ac:dyDescent="0.2">
      <c r="A16" s="76">
        <v>17</v>
      </c>
      <c r="B16">
        <v>9.1999999999999993</v>
      </c>
      <c r="C16" s="87" t="s">
        <v>330</v>
      </c>
      <c r="D16" s="88"/>
      <c r="E16" s="181"/>
      <c r="F16" s="90"/>
      <c r="G16" s="11"/>
      <c r="H16" s="181">
        <v>4187.71</v>
      </c>
      <c r="I16" s="90">
        <f t="shared" si="0"/>
        <v>4187.71</v>
      </c>
      <c r="J16" s="90">
        <v>4187.71</v>
      </c>
      <c r="K16" s="90">
        <f t="shared" si="3"/>
        <v>0</v>
      </c>
      <c r="L16" s="90">
        <v>0</v>
      </c>
      <c r="M16" s="90">
        <f t="shared" si="2"/>
        <v>4187.71</v>
      </c>
      <c r="N16" s="90"/>
      <c r="O16" s="90" t="s">
        <v>444</v>
      </c>
      <c r="P16" s="90" t="s">
        <v>444</v>
      </c>
      <c r="Q16" s="178"/>
      <c r="R16" s="90"/>
      <c r="S16" s="90"/>
      <c r="T16" s="216"/>
      <c r="U16" s="90"/>
    </row>
    <row r="17" spans="1:21" x14ac:dyDescent="0.2">
      <c r="A17" s="76"/>
      <c r="C17" s="172" t="s">
        <v>266</v>
      </c>
      <c r="D17" s="173"/>
      <c r="E17" s="182"/>
      <c r="F17" s="175">
        <f>SUM(F18:F23)</f>
        <v>0</v>
      </c>
      <c r="G17" s="175"/>
      <c r="H17" s="175">
        <f>SUM(H18:H23)</f>
        <v>11933.35</v>
      </c>
      <c r="I17" s="175">
        <f t="shared" si="0"/>
        <v>11933.35</v>
      </c>
      <c r="J17" s="175">
        <f>SUM(J18:J23)</f>
        <v>3550.6</v>
      </c>
      <c r="K17" s="175">
        <f>SUM(K18:K23)</f>
        <v>8527.75</v>
      </c>
      <c r="L17" s="175">
        <v>3406</v>
      </c>
      <c r="M17" s="175">
        <v>0</v>
      </c>
      <c r="N17" s="175">
        <f>J17-L17</f>
        <v>144.59999999999991</v>
      </c>
      <c r="O17" s="175">
        <v>0</v>
      </c>
      <c r="P17" s="175">
        <f>O17-I17</f>
        <v>-11933.35</v>
      </c>
      <c r="Q17" s="177"/>
      <c r="R17" s="175"/>
      <c r="S17" s="175"/>
      <c r="T17" s="215">
        <f>R17-S17</f>
        <v>0</v>
      </c>
      <c r="U17" s="175"/>
    </row>
    <row r="18" spans="1:21" outlineLevel="1" x14ac:dyDescent="0.2">
      <c r="A18" s="76"/>
      <c r="B18">
        <v>10</v>
      </c>
      <c r="C18" s="87" t="s">
        <v>260</v>
      </c>
      <c r="D18" s="88"/>
      <c r="E18" s="181"/>
      <c r="F18" s="90">
        <v>0</v>
      </c>
      <c r="G18" s="181"/>
      <c r="H18" s="11">
        <v>5827.35</v>
      </c>
      <c r="I18" s="90">
        <v>5827.35</v>
      </c>
      <c r="J18" s="90"/>
      <c r="K18" s="90">
        <f t="shared" ref="K18:K23" si="4">I18-J18</f>
        <v>5827.35</v>
      </c>
      <c r="L18" s="90">
        <v>0</v>
      </c>
      <c r="M18" s="90">
        <f t="shared" si="2"/>
        <v>0</v>
      </c>
      <c r="N18" s="90"/>
      <c r="O18" s="90" t="s">
        <v>444</v>
      </c>
      <c r="P18" s="90" t="s">
        <v>444</v>
      </c>
      <c r="Q18" s="178"/>
      <c r="R18" s="90"/>
      <c r="S18" s="90"/>
      <c r="T18" s="216"/>
      <c r="U18" s="90"/>
    </row>
    <row r="19" spans="1:21" outlineLevel="1" x14ac:dyDescent="0.2">
      <c r="A19" s="76"/>
      <c r="B19">
        <v>11</v>
      </c>
      <c r="C19" s="87" t="s">
        <v>262</v>
      </c>
      <c r="D19" s="88">
        <f>'Material Takeoff'!G85</f>
        <v>100</v>
      </c>
      <c r="E19" s="181">
        <v>10</v>
      </c>
      <c r="F19" s="90"/>
      <c r="G19" s="181">
        <v>8</v>
      </c>
      <c r="H19" s="183">
        <v>1700</v>
      </c>
      <c r="I19" s="90">
        <f t="shared" si="0"/>
        <v>1700</v>
      </c>
      <c r="J19" s="90"/>
      <c r="K19" s="90">
        <f t="shared" si="4"/>
        <v>1700</v>
      </c>
      <c r="L19" s="90">
        <v>0</v>
      </c>
      <c r="M19" s="90">
        <f t="shared" si="2"/>
        <v>0</v>
      </c>
      <c r="N19" s="90"/>
      <c r="O19" s="90" t="s">
        <v>444</v>
      </c>
      <c r="P19" s="90" t="s">
        <v>444</v>
      </c>
      <c r="Q19" s="178"/>
      <c r="R19" s="90"/>
      <c r="S19" s="90"/>
      <c r="T19" s="216"/>
      <c r="U19" s="90"/>
    </row>
    <row r="20" spans="1:21" outlineLevel="1" x14ac:dyDescent="0.2">
      <c r="A20" s="76"/>
      <c r="B20">
        <v>12</v>
      </c>
      <c r="C20" s="87" t="s">
        <v>263</v>
      </c>
      <c r="D20" s="88">
        <v>35</v>
      </c>
      <c r="E20" s="181"/>
      <c r="F20" s="90"/>
      <c r="G20" s="181">
        <v>10</v>
      </c>
      <c r="H20" s="183">
        <v>0</v>
      </c>
      <c r="I20" s="90">
        <v>0</v>
      </c>
      <c r="J20" s="90"/>
      <c r="K20" s="90">
        <f t="shared" si="4"/>
        <v>0</v>
      </c>
      <c r="L20" s="90">
        <v>0</v>
      </c>
      <c r="M20" s="90">
        <f t="shared" si="2"/>
        <v>0</v>
      </c>
      <c r="N20" s="90"/>
      <c r="O20" s="90" t="s">
        <v>444</v>
      </c>
      <c r="P20" s="90" t="s">
        <v>444</v>
      </c>
      <c r="Q20" s="178"/>
      <c r="R20" s="90"/>
      <c r="S20" s="90"/>
      <c r="T20" s="216"/>
      <c r="U20" s="90"/>
    </row>
    <row r="21" spans="1:21" outlineLevel="1" x14ac:dyDescent="0.2">
      <c r="A21" s="76"/>
      <c r="B21">
        <v>13</v>
      </c>
      <c r="C21" s="87" t="s">
        <v>264</v>
      </c>
      <c r="D21" s="88" t="s">
        <v>52</v>
      </c>
      <c r="E21" s="181"/>
      <c r="F21" s="90"/>
      <c r="G21" s="11"/>
      <c r="H21" s="181">
        <v>0</v>
      </c>
      <c r="I21" s="90">
        <v>0</v>
      </c>
      <c r="J21" s="90"/>
      <c r="K21" s="90">
        <f t="shared" si="4"/>
        <v>0</v>
      </c>
      <c r="L21" s="90">
        <v>0</v>
      </c>
      <c r="M21" s="90">
        <f t="shared" si="2"/>
        <v>0</v>
      </c>
      <c r="N21" s="90"/>
      <c r="O21" s="90" t="s">
        <v>444</v>
      </c>
      <c r="P21" s="90" t="s">
        <v>444</v>
      </c>
      <c r="Q21" s="178"/>
      <c r="R21" s="90"/>
      <c r="S21" s="90"/>
      <c r="T21" s="216"/>
      <c r="U21" s="90"/>
    </row>
    <row r="22" spans="1:21" outlineLevel="1" x14ac:dyDescent="0.2">
      <c r="A22" s="76"/>
      <c r="B22">
        <v>14</v>
      </c>
      <c r="C22" s="87" t="s">
        <v>61</v>
      </c>
      <c r="D22" s="184">
        <v>500</v>
      </c>
      <c r="E22" s="185"/>
      <c r="F22" s="90">
        <f>E22*D22</f>
        <v>0</v>
      </c>
      <c r="G22" s="185">
        <v>4</v>
      </c>
      <c r="H22" s="90">
        <v>3406</v>
      </c>
      <c r="I22" s="90">
        <v>3551</v>
      </c>
      <c r="J22" s="90">
        <v>3550.6</v>
      </c>
      <c r="K22" s="90">
        <f t="shared" si="4"/>
        <v>0.40000000000009095</v>
      </c>
      <c r="L22" s="90">
        <v>3406</v>
      </c>
      <c r="M22" s="90">
        <v>0</v>
      </c>
      <c r="N22" s="90">
        <f>J22-L22-M22</f>
        <v>144.59999999999991</v>
      </c>
      <c r="O22" s="90" t="s">
        <v>444</v>
      </c>
      <c r="P22" s="90" t="s">
        <v>52</v>
      </c>
      <c r="Q22" s="178"/>
      <c r="R22" s="90"/>
      <c r="S22" s="90"/>
      <c r="T22" s="216"/>
      <c r="U22" s="90"/>
    </row>
    <row r="23" spans="1:21" outlineLevel="1" x14ac:dyDescent="0.2">
      <c r="A23" s="76"/>
      <c r="B23">
        <v>15</v>
      </c>
      <c r="C23" s="87" t="s">
        <v>257</v>
      </c>
      <c r="D23" s="11">
        <v>60</v>
      </c>
      <c r="E23" s="183">
        <v>16</v>
      </c>
      <c r="F23" s="97"/>
      <c r="G23" s="97">
        <v>20</v>
      </c>
      <c r="H23" s="95">
        <v>1000</v>
      </c>
      <c r="I23" s="90">
        <f t="shared" si="0"/>
        <v>1000</v>
      </c>
      <c r="J23" s="90"/>
      <c r="K23" s="90">
        <f t="shared" si="4"/>
        <v>1000</v>
      </c>
      <c r="L23" s="90">
        <v>0</v>
      </c>
      <c r="M23" s="90">
        <f t="shared" si="2"/>
        <v>0</v>
      </c>
      <c r="N23" s="90"/>
      <c r="O23" s="90" t="s">
        <v>444</v>
      </c>
      <c r="P23" s="90" t="s">
        <v>444</v>
      </c>
      <c r="Q23" s="178"/>
      <c r="R23" s="90"/>
      <c r="S23" s="90"/>
      <c r="T23" s="216"/>
      <c r="U23" s="90"/>
    </row>
    <row r="24" spans="1:21" x14ac:dyDescent="0.2">
      <c r="A24" s="76">
        <v>300</v>
      </c>
      <c r="C24" s="172" t="s">
        <v>258</v>
      </c>
      <c r="D24" s="186"/>
      <c r="E24" s="182"/>
      <c r="F24" s="204">
        <f>SUM(F25:F26)</f>
        <v>943</v>
      </c>
      <c r="G24" s="175"/>
      <c r="H24" s="175">
        <f>SUM(H25:H26)</f>
        <v>16330</v>
      </c>
      <c r="I24" s="175">
        <f t="shared" si="0"/>
        <v>17273</v>
      </c>
      <c r="J24" s="175">
        <f>SUM(J25:J26)</f>
        <v>16073</v>
      </c>
      <c r="K24" s="175">
        <f>SUM(K25:K26)</f>
        <v>1200</v>
      </c>
      <c r="L24" s="175">
        <v>0</v>
      </c>
      <c r="M24" s="187">
        <f>M25</f>
        <v>4800</v>
      </c>
      <c r="N24" s="175">
        <f>J24-L24-M24</f>
        <v>11273</v>
      </c>
      <c r="O24" s="175">
        <f>O25+O26</f>
        <v>11075</v>
      </c>
      <c r="P24" s="175">
        <f>O24-I24</f>
        <v>-6198</v>
      </c>
      <c r="Q24" s="177">
        <f>R24/O24</f>
        <v>0.93227990970654628</v>
      </c>
      <c r="R24" s="175">
        <f>S24+U24</f>
        <v>10325</v>
      </c>
      <c r="S24" s="175">
        <v>4800</v>
      </c>
      <c r="T24" s="215"/>
      <c r="U24" s="175">
        <v>5525</v>
      </c>
    </row>
    <row r="25" spans="1:21" outlineLevel="1" x14ac:dyDescent="0.2">
      <c r="A25" s="203" t="s">
        <v>448</v>
      </c>
      <c r="B25">
        <v>16</v>
      </c>
      <c r="C25" s="87" t="s">
        <v>445</v>
      </c>
      <c r="D25" s="92">
        <v>15</v>
      </c>
      <c r="E25" s="185"/>
      <c r="F25" s="90">
        <v>643</v>
      </c>
      <c r="G25" s="90"/>
      <c r="H25" s="90">
        <v>15430</v>
      </c>
      <c r="I25" s="90">
        <f>H25+F25</f>
        <v>16073</v>
      </c>
      <c r="J25" s="90">
        <v>16073</v>
      </c>
      <c r="K25" s="90">
        <f>I25-J25</f>
        <v>0</v>
      </c>
      <c r="L25" s="90">
        <v>0</v>
      </c>
      <c r="M25" s="90">
        <v>4800</v>
      </c>
      <c r="N25" s="90">
        <f>J25-L25-M25</f>
        <v>11273</v>
      </c>
      <c r="O25" s="90">
        <f>9350+525</f>
        <v>9875</v>
      </c>
      <c r="P25" s="188">
        <f>O25-I25</f>
        <v>-6198</v>
      </c>
      <c r="Q25" s="189">
        <f>R25/O25</f>
        <v>0.44050632911392407</v>
      </c>
      <c r="R25" s="190">
        <f>4125+225</f>
        <v>4350</v>
      </c>
      <c r="S25" s="190">
        <v>4350</v>
      </c>
      <c r="T25" s="217"/>
      <c r="U25" s="190">
        <v>5225</v>
      </c>
    </row>
    <row r="26" spans="1:21" outlineLevel="1" x14ac:dyDescent="0.2">
      <c r="A26" s="76">
        <v>16</v>
      </c>
      <c r="B26">
        <v>19</v>
      </c>
      <c r="C26" s="87" t="s">
        <v>63</v>
      </c>
      <c r="D26" s="92">
        <v>6</v>
      </c>
      <c r="E26" s="185">
        <v>50</v>
      </c>
      <c r="F26" s="90">
        <f>E26*D26</f>
        <v>300</v>
      </c>
      <c r="G26" s="185">
        <v>150</v>
      </c>
      <c r="H26" s="90">
        <f>G26*D26</f>
        <v>900</v>
      </c>
      <c r="I26" s="90">
        <f t="shared" si="0"/>
        <v>1200</v>
      </c>
      <c r="J26" s="90"/>
      <c r="K26" s="90">
        <f>I26-J26</f>
        <v>1200</v>
      </c>
      <c r="L26" s="90">
        <v>0</v>
      </c>
      <c r="M26" s="90">
        <f t="shared" si="2"/>
        <v>0</v>
      </c>
      <c r="N26" s="90"/>
      <c r="O26" s="90">
        <v>1200</v>
      </c>
      <c r="P26" s="188">
        <f>O26-I26</f>
        <v>0</v>
      </c>
      <c r="Q26" s="189">
        <f>R26/O26</f>
        <v>0.375</v>
      </c>
      <c r="R26" s="190">
        <v>450</v>
      </c>
      <c r="S26" s="190">
        <v>450</v>
      </c>
      <c r="T26" s="217"/>
      <c r="U26" s="190">
        <v>300</v>
      </c>
    </row>
    <row r="27" spans="1:21" x14ac:dyDescent="0.2">
      <c r="A27" s="76">
        <v>18</v>
      </c>
      <c r="C27" s="172" t="s">
        <v>0</v>
      </c>
      <c r="D27" s="173"/>
      <c r="E27" s="182"/>
      <c r="F27" s="204">
        <f>SUM(F28:F29)</f>
        <v>2825.375</v>
      </c>
      <c r="G27" s="175"/>
      <c r="H27" s="175">
        <f>SUM(H28:H29)</f>
        <v>1156.6111111111111</v>
      </c>
      <c r="I27" s="175">
        <f t="shared" si="0"/>
        <v>3981.9861111111113</v>
      </c>
      <c r="J27" s="175">
        <f>SUM(J28:J29)</f>
        <v>33.19</v>
      </c>
      <c r="K27" s="175">
        <f>SUM(K28:K29)</f>
        <v>3948.7961111111113</v>
      </c>
      <c r="L27" s="175">
        <v>0</v>
      </c>
      <c r="M27" s="175">
        <v>33</v>
      </c>
      <c r="N27" s="175"/>
      <c r="O27" s="175">
        <v>3996</v>
      </c>
      <c r="P27" s="175">
        <f>O27-I27</f>
        <v>14.013888888888687</v>
      </c>
      <c r="Q27" s="177"/>
      <c r="R27" s="175"/>
      <c r="S27" s="175"/>
      <c r="T27" s="215">
        <f>R27-S27</f>
        <v>0</v>
      </c>
      <c r="U27" s="175"/>
    </row>
    <row r="28" spans="1:21" outlineLevel="1" x14ac:dyDescent="0.2">
      <c r="A28" s="76">
        <v>18</v>
      </c>
      <c r="B28">
        <v>21</v>
      </c>
      <c r="C28" s="87" t="s">
        <v>65</v>
      </c>
      <c r="D28" s="96">
        <f>'Material Takeoff'!G110</f>
        <v>61.638888888888893</v>
      </c>
      <c r="E28" s="185">
        <v>27</v>
      </c>
      <c r="F28" s="90">
        <f>E28*D28</f>
        <v>1664.25</v>
      </c>
      <c r="G28" s="90">
        <v>8</v>
      </c>
      <c r="H28" s="183">
        <f>G28*D28</f>
        <v>493.11111111111114</v>
      </c>
      <c r="I28" s="90">
        <f t="shared" si="0"/>
        <v>2157.3611111111113</v>
      </c>
      <c r="J28" s="90">
        <v>33.19</v>
      </c>
      <c r="K28" s="90">
        <f>I28-J28</f>
        <v>2124.1711111111113</v>
      </c>
      <c r="L28" s="90">
        <v>0</v>
      </c>
      <c r="M28" s="90">
        <f t="shared" si="2"/>
        <v>33.19</v>
      </c>
      <c r="N28" s="90"/>
      <c r="O28" s="90" t="s">
        <v>444</v>
      </c>
      <c r="P28" s="90" t="s">
        <v>444</v>
      </c>
      <c r="Q28" s="178"/>
      <c r="R28" s="90"/>
      <c r="S28" s="90"/>
      <c r="T28" s="216"/>
      <c r="U28" s="90"/>
    </row>
    <row r="29" spans="1:21" outlineLevel="1" x14ac:dyDescent="0.2">
      <c r="A29" s="76">
        <v>18</v>
      </c>
      <c r="B29">
        <v>22</v>
      </c>
      <c r="C29" s="87" t="s">
        <v>66</v>
      </c>
      <c r="D29" s="96">
        <f>'Material Takeoff'!J14</f>
        <v>165.875</v>
      </c>
      <c r="E29" s="185">
        <v>7</v>
      </c>
      <c r="F29" s="90">
        <f>E29*D29</f>
        <v>1161.125</v>
      </c>
      <c r="G29" s="90">
        <v>4</v>
      </c>
      <c r="H29" s="90">
        <f>G29*D29</f>
        <v>663.5</v>
      </c>
      <c r="I29" s="90">
        <f t="shared" si="0"/>
        <v>1824.625</v>
      </c>
      <c r="J29" s="90"/>
      <c r="K29" s="90">
        <f>I29-J29</f>
        <v>1824.625</v>
      </c>
      <c r="L29" s="90">
        <v>0</v>
      </c>
      <c r="M29" s="90">
        <f t="shared" si="2"/>
        <v>0</v>
      </c>
      <c r="N29" s="90"/>
      <c r="O29" s="90" t="s">
        <v>444</v>
      </c>
      <c r="P29" s="90" t="s">
        <v>444</v>
      </c>
      <c r="Q29" s="178"/>
      <c r="R29" s="90"/>
      <c r="S29" s="90"/>
      <c r="T29" s="216"/>
      <c r="U29" s="90"/>
    </row>
    <row r="30" spans="1:21" x14ac:dyDescent="0.2">
      <c r="A30" s="76">
        <v>31</v>
      </c>
      <c r="C30" s="172" t="s">
        <v>1</v>
      </c>
      <c r="D30" s="173"/>
      <c r="E30" s="182"/>
      <c r="F30" s="175">
        <f>SUM(F31:F31)</f>
        <v>0</v>
      </c>
      <c r="G30" s="175"/>
      <c r="H30" s="175">
        <f>SUM(H31:H32)</f>
        <v>8400</v>
      </c>
      <c r="I30" s="175">
        <f t="shared" si="0"/>
        <v>8400</v>
      </c>
      <c r="J30" s="175">
        <f>SUM(J31:J32)</f>
        <v>280</v>
      </c>
      <c r="K30" s="175">
        <f>SUM(K31:K32)</f>
        <v>6420</v>
      </c>
      <c r="L30" s="175">
        <v>280</v>
      </c>
      <c r="M30" s="187">
        <f t="shared" si="2"/>
        <v>0</v>
      </c>
      <c r="N30" s="187"/>
      <c r="O30" s="175">
        <v>7589</v>
      </c>
      <c r="P30" s="175">
        <f>O30-I30</f>
        <v>-811</v>
      </c>
      <c r="Q30" s="177">
        <f>R30/O30</f>
        <v>0.49347740150217417</v>
      </c>
      <c r="R30" s="175">
        <f>S30+U30</f>
        <v>3745</v>
      </c>
      <c r="S30" s="175">
        <v>2745</v>
      </c>
      <c r="T30" s="215"/>
      <c r="U30" s="175">
        <v>1000</v>
      </c>
    </row>
    <row r="31" spans="1:21" outlineLevel="1" x14ac:dyDescent="0.2">
      <c r="A31" s="76">
        <v>31</v>
      </c>
      <c r="B31">
        <v>23</v>
      </c>
      <c r="C31" s="87" t="s">
        <v>431</v>
      </c>
      <c r="D31" s="11">
        <f>'Material Takeoff'!AD14</f>
        <v>9.98</v>
      </c>
      <c r="E31" s="185"/>
      <c r="F31" s="188">
        <f>E31*D31</f>
        <v>0</v>
      </c>
      <c r="G31" s="97">
        <v>125</v>
      </c>
      <c r="H31" s="95">
        <v>6000</v>
      </c>
      <c r="I31" s="188">
        <f t="shared" ref="I31:I62" si="5">F31+H31</f>
        <v>6000</v>
      </c>
      <c r="J31" s="188"/>
      <c r="K31" s="90">
        <f>I31-J31</f>
        <v>6000</v>
      </c>
      <c r="L31" s="90">
        <v>0</v>
      </c>
      <c r="M31" s="90">
        <f t="shared" si="2"/>
        <v>0</v>
      </c>
      <c r="N31" s="90"/>
      <c r="O31" s="90"/>
      <c r="P31" s="90"/>
      <c r="Q31" s="178"/>
      <c r="R31" s="90"/>
      <c r="S31" s="90"/>
      <c r="T31" s="216"/>
      <c r="U31" s="90"/>
    </row>
    <row r="32" spans="1:21" outlineLevel="1" x14ac:dyDescent="0.2">
      <c r="A32" s="76">
        <v>31</v>
      </c>
      <c r="B32">
        <v>25</v>
      </c>
      <c r="C32" s="87" t="s">
        <v>432</v>
      </c>
      <c r="D32" s="191">
        <v>60</v>
      </c>
      <c r="E32" s="183"/>
      <c r="F32" s="97"/>
      <c r="G32" s="97">
        <v>40</v>
      </c>
      <c r="H32" s="190">
        <f>G32*D32</f>
        <v>2400</v>
      </c>
      <c r="I32" s="188">
        <v>700</v>
      </c>
      <c r="J32" s="188">
        <v>280</v>
      </c>
      <c r="K32" s="90">
        <f>I32-J32</f>
        <v>420</v>
      </c>
      <c r="L32" s="90">
        <v>280</v>
      </c>
      <c r="M32" s="90">
        <f t="shared" si="2"/>
        <v>0</v>
      </c>
      <c r="N32" s="90"/>
      <c r="O32" s="90"/>
      <c r="P32" s="90"/>
      <c r="Q32" s="178"/>
      <c r="R32" s="90"/>
      <c r="S32" s="90"/>
      <c r="T32" s="216"/>
      <c r="U32" s="90"/>
    </row>
    <row r="33" spans="1:21" x14ac:dyDescent="0.2">
      <c r="A33" s="76">
        <v>25</v>
      </c>
      <c r="C33" s="172" t="s">
        <v>2</v>
      </c>
      <c r="D33" s="173"/>
      <c r="E33" s="182"/>
      <c r="F33" s="204">
        <f>SUM(F34:F35)</f>
        <v>1530</v>
      </c>
      <c r="G33" s="175"/>
      <c r="H33" s="175">
        <f>SUM(H34:H35)</f>
        <v>1318</v>
      </c>
      <c r="I33" s="175">
        <f t="shared" si="5"/>
        <v>2848</v>
      </c>
      <c r="J33" s="175">
        <f>SUM(J34:J35)</f>
        <v>0</v>
      </c>
      <c r="K33" s="175">
        <f>SUM(K34:K35)</f>
        <v>2848</v>
      </c>
      <c r="L33" s="175">
        <v>0</v>
      </c>
      <c r="M33" s="187">
        <f t="shared" si="2"/>
        <v>0</v>
      </c>
      <c r="N33" s="187"/>
      <c r="O33" s="175">
        <v>3048</v>
      </c>
      <c r="P33" s="175">
        <f>O33-I33</f>
        <v>200</v>
      </c>
      <c r="Q33" s="177">
        <f>R33/O33</f>
        <v>0</v>
      </c>
      <c r="R33" s="175">
        <v>0</v>
      </c>
      <c r="S33" s="175"/>
      <c r="T33" s="215">
        <f>R33-S33</f>
        <v>0</v>
      </c>
      <c r="U33" s="175"/>
    </row>
    <row r="34" spans="1:21" outlineLevel="1" x14ac:dyDescent="0.2">
      <c r="A34" s="76">
        <v>25</v>
      </c>
      <c r="B34">
        <v>26</v>
      </c>
      <c r="C34" s="87" t="s">
        <v>277</v>
      </c>
      <c r="D34" s="88">
        <v>200</v>
      </c>
      <c r="E34" s="89">
        <v>5</v>
      </c>
      <c r="F34" s="90">
        <f>E34*D34</f>
        <v>1000</v>
      </c>
      <c r="G34" s="90">
        <v>5</v>
      </c>
      <c r="H34" s="95">
        <f>G34*D34</f>
        <v>1000</v>
      </c>
      <c r="I34" s="90">
        <f t="shared" si="5"/>
        <v>2000</v>
      </c>
      <c r="J34" s="90"/>
      <c r="K34" s="90">
        <f>I34-J34</f>
        <v>2000</v>
      </c>
      <c r="L34" s="90">
        <v>0</v>
      </c>
      <c r="M34" s="90">
        <f t="shared" si="2"/>
        <v>0</v>
      </c>
      <c r="N34" s="90"/>
      <c r="O34" s="90" t="s">
        <v>444</v>
      </c>
      <c r="P34" s="90" t="s">
        <v>444</v>
      </c>
      <c r="Q34" s="178"/>
      <c r="R34" s="90"/>
      <c r="S34" s="90"/>
      <c r="T34" s="216"/>
      <c r="U34" s="90"/>
    </row>
    <row r="35" spans="1:21" outlineLevel="1" x14ac:dyDescent="0.2">
      <c r="A35" s="76">
        <v>25</v>
      </c>
      <c r="B35">
        <v>27</v>
      </c>
      <c r="C35" s="87" t="s">
        <v>244</v>
      </c>
      <c r="D35" s="96">
        <f>64+42</f>
        <v>106</v>
      </c>
      <c r="E35" s="185">
        <v>5</v>
      </c>
      <c r="F35" s="90">
        <f>E35*D35</f>
        <v>530</v>
      </c>
      <c r="G35" s="90">
        <v>3</v>
      </c>
      <c r="H35" s="95">
        <f>G35*D35</f>
        <v>318</v>
      </c>
      <c r="I35" s="90">
        <f t="shared" si="5"/>
        <v>848</v>
      </c>
      <c r="J35" s="90"/>
      <c r="K35" s="90">
        <f>I35-J35</f>
        <v>848</v>
      </c>
      <c r="L35" s="90">
        <v>0</v>
      </c>
      <c r="M35" s="90">
        <f t="shared" si="2"/>
        <v>0</v>
      </c>
      <c r="N35" s="90"/>
      <c r="O35" s="90" t="s">
        <v>444</v>
      </c>
      <c r="P35" s="90" t="s">
        <v>444</v>
      </c>
      <c r="Q35" s="178"/>
      <c r="R35" s="90"/>
      <c r="S35" s="90"/>
      <c r="T35" s="216"/>
      <c r="U35" s="90"/>
    </row>
    <row r="36" spans="1:21" x14ac:dyDescent="0.2">
      <c r="A36" s="76">
        <v>20</v>
      </c>
      <c r="C36" s="172" t="s">
        <v>69</v>
      </c>
      <c r="D36" s="192"/>
      <c r="E36" s="182"/>
      <c r="F36" s="175">
        <f>SUM(F37:F39)</f>
        <v>0</v>
      </c>
      <c r="G36" s="175"/>
      <c r="H36" s="175">
        <f>SUM(H37:H39)</f>
        <v>1500</v>
      </c>
      <c r="I36" s="175">
        <f t="shared" si="5"/>
        <v>1500</v>
      </c>
      <c r="J36" s="175">
        <f>SUM(J37:J39)</f>
        <v>1500</v>
      </c>
      <c r="K36" s="175">
        <f>SUM(K37:K39)</f>
        <v>0</v>
      </c>
      <c r="L36" s="175">
        <v>1500</v>
      </c>
      <c r="M36" s="187">
        <f t="shared" si="2"/>
        <v>0</v>
      </c>
      <c r="N36" s="187"/>
      <c r="O36" s="175">
        <v>2096</v>
      </c>
      <c r="P36" s="175">
        <f>O36-I36</f>
        <v>596</v>
      </c>
      <c r="Q36" s="177">
        <f>R36/O36</f>
        <v>0.71564885496183206</v>
      </c>
      <c r="R36" s="175">
        <f>S36</f>
        <v>1500</v>
      </c>
      <c r="S36" s="175">
        <v>1500</v>
      </c>
      <c r="T36" s="215">
        <f>R36-S36</f>
        <v>0</v>
      </c>
      <c r="U36" s="175"/>
    </row>
    <row r="37" spans="1:21" outlineLevel="1" x14ac:dyDescent="0.2">
      <c r="A37" s="76">
        <v>20</v>
      </c>
      <c r="B37">
        <v>28</v>
      </c>
      <c r="C37" s="87" t="s">
        <v>70</v>
      </c>
      <c r="D37" s="92">
        <v>11</v>
      </c>
      <c r="E37" s="185"/>
      <c r="F37" s="90">
        <f>E37*D37</f>
        <v>0</v>
      </c>
      <c r="G37" s="90"/>
      <c r="H37" s="95">
        <v>500</v>
      </c>
      <c r="I37" s="90">
        <f t="shared" si="5"/>
        <v>500</v>
      </c>
      <c r="J37" s="90">
        <v>500</v>
      </c>
      <c r="K37" s="90">
        <f>I37-J37</f>
        <v>0</v>
      </c>
      <c r="L37" s="90">
        <v>500</v>
      </c>
      <c r="M37" s="90">
        <f t="shared" si="2"/>
        <v>0</v>
      </c>
      <c r="N37" s="90"/>
      <c r="O37" s="90" t="s">
        <v>444</v>
      </c>
      <c r="P37" s="90" t="s">
        <v>444</v>
      </c>
      <c r="Q37" s="178"/>
      <c r="R37" s="90"/>
      <c r="S37" s="90"/>
      <c r="T37" s="216"/>
      <c r="U37" s="90"/>
    </row>
    <row r="38" spans="1:21" outlineLevel="1" x14ac:dyDescent="0.2">
      <c r="A38" s="76">
        <v>20</v>
      </c>
      <c r="B38">
        <v>29</v>
      </c>
      <c r="C38" s="87" t="s">
        <v>71</v>
      </c>
      <c r="D38" s="92">
        <v>6</v>
      </c>
      <c r="E38" s="185">
        <v>68</v>
      </c>
      <c r="F38" s="90">
        <v>0</v>
      </c>
      <c r="G38" s="90"/>
      <c r="H38" s="95">
        <v>500</v>
      </c>
      <c r="I38" s="90">
        <f t="shared" si="5"/>
        <v>500</v>
      </c>
      <c r="J38" s="90">
        <v>500</v>
      </c>
      <c r="K38" s="90">
        <f>I38-J38</f>
        <v>0</v>
      </c>
      <c r="L38" s="90">
        <v>500</v>
      </c>
      <c r="M38" s="90">
        <f t="shared" si="2"/>
        <v>0</v>
      </c>
      <c r="N38" s="90"/>
      <c r="O38" s="90" t="s">
        <v>444</v>
      </c>
      <c r="P38" s="90" t="s">
        <v>444</v>
      </c>
      <c r="Q38" s="178"/>
      <c r="R38" s="90"/>
      <c r="S38" s="90"/>
      <c r="T38" s="216"/>
      <c r="U38" s="90"/>
    </row>
    <row r="39" spans="1:21" outlineLevel="1" x14ac:dyDescent="0.2">
      <c r="A39" s="76">
        <v>20</v>
      </c>
      <c r="B39">
        <v>30</v>
      </c>
      <c r="C39" s="87" t="s">
        <v>72</v>
      </c>
      <c r="D39" s="96">
        <f>'Material Takeoff'!S73</f>
        <v>265.70499999999998</v>
      </c>
      <c r="E39" s="97">
        <v>2</v>
      </c>
      <c r="F39" s="95"/>
      <c r="G39" s="97">
        <v>1</v>
      </c>
      <c r="H39" s="95">
        <v>500</v>
      </c>
      <c r="I39" s="90">
        <f t="shared" si="5"/>
        <v>500</v>
      </c>
      <c r="J39" s="90">
        <v>500</v>
      </c>
      <c r="K39" s="90">
        <f>I39-J39</f>
        <v>0</v>
      </c>
      <c r="L39" s="90">
        <v>500</v>
      </c>
      <c r="M39" s="90">
        <f t="shared" si="2"/>
        <v>0</v>
      </c>
      <c r="N39" s="90"/>
      <c r="O39" s="90" t="s">
        <v>444</v>
      </c>
      <c r="P39" s="90" t="s">
        <v>444</v>
      </c>
      <c r="Q39" s="178"/>
      <c r="R39" s="90"/>
      <c r="S39" s="90"/>
      <c r="T39" s="216"/>
      <c r="U39" s="90"/>
    </row>
    <row r="40" spans="1:21" x14ac:dyDescent="0.2">
      <c r="A40" s="76">
        <v>19</v>
      </c>
      <c r="C40" s="172" t="s">
        <v>73</v>
      </c>
      <c r="D40" s="193"/>
      <c r="E40" s="194"/>
      <c r="F40" s="175">
        <f>SUM(F41:F42)</f>
        <v>0</v>
      </c>
      <c r="G40" s="175">
        <v>0</v>
      </c>
      <c r="H40" s="175">
        <f>SUM(H41:H42)</f>
        <v>1866.8999999999999</v>
      </c>
      <c r="I40" s="175">
        <f t="shared" si="5"/>
        <v>1866.8999999999999</v>
      </c>
      <c r="J40" s="175">
        <f>SUM(J41:J42)</f>
        <v>241.69</v>
      </c>
      <c r="K40" s="175">
        <f>SUM(K41:K42)</f>
        <v>1625.2099999999998</v>
      </c>
      <c r="L40" s="175">
        <v>176</v>
      </c>
      <c r="M40" s="175">
        <v>66</v>
      </c>
      <c r="N40" s="175"/>
      <c r="O40" s="175">
        <v>4432</v>
      </c>
      <c r="P40" s="175">
        <f>O40-I40</f>
        <v>2565.1000000000004</v>
      </c>
      <c r="Q40" s="177">
        <f>R40/O40</f>
        <v>0.51353790613718409</v>
      </c>
      <c r="R40" s="175">
        <f>S40+T40+U40</f>
        <v>2276</v>
      </c>
      <c r="S40" s="175">
        <v>176</v>
      </c>
      <c r="T40" s="215">
        <v>100</v>
      </c>
      <c r="U40" s="175">
        <v>2000</v>
      </c>
    </row>
    <row r="41" spans="1:21" outlineLevel="1" x14ac:dyDescent="0.2">
      <c r="A41" s="76">
        <v>19</v>
      </c>
      <c r="B41">
        <v>31</v>
      </c>
      <c r="C41" s="87" t="s">
        <v>248</v>
      </c>
      <c r="D41" s="195">
        <f>1507+712+'Material Takeoff'!J13</f>
        <v>3546</v>
      </c>
      <c r="E41" s="185"/>
      <c r="F41" s="90">
        <f>E41*D41</f>
        <v>0</v>
      </c>
      <c r="G41" s="185">
        <v>0.35</v>
      </c>
      <c r="H41" s="90">
        <f>G41*D41</f>
        <v>1241.0999999999999</v>
      </c>
      <c r="I41" s="90">
        <f t="shared" si="5"/>
        <v>1241.0999999999999</v>
      </c>
      <c r="J41" s="90">
        <v>241.69</v>
      </c>
      <c r="K41" s="90">
        <f>I41-J41</f>
        <v>999.40999999999985</v>
      </c>
      <c r="L41" s="90">
        <v>176</v>
      </c>
      <c r="M41" s="90">
        <f t="shared" si="2"/>
        <v>65.69</v>
      </c>
      <c r="N41" s="90"/>
      <c r="O41" s="90" t="s">
        <v>444</v>
      </c>
      <c r="P41" s="90" t="s">
        <v>444</v>
      </c>
      <c r="Q41" s="178"/>
      <c r="R41" s="90"/>
      <c r="S41" s="90"/>
      <c r="T41" s="216"/>
      <c r="U41" s="90"/>
    </row>
    <row r="42" spans="1:21" outlineLevel="1" x14ac:dyDescent="0.2">
      <c r="A42" s="76">
        <v>19</v>
      </c>
      <c r="B42">
        <v>32</v>
      </c>
      <c r="C42" s="87" t="s">
        <v>249</v>
      </c>
      <c r="D42" s="92">
        <f>400+1000+388</f>
        <v>1788</v>
      </c>
      <c r="E42" s="185"/>
      <c r="F42" s="90">
        <f>E42*D42</f>
        <v>0</v>
      </c>
      <c r="G42" s="185">
        <v>0.35</v>
      </c>
      <c r="H42" s="90">
        <f>G42*D42</f>
        <v>625.79999999999995</v>
      </c>
      <c r="I42" s="90">
        <f t="shared" si="5"/>
        <v>625.79999999999995</v>
      </c>
      <c r="J42" s="90"/>
      <c r="K42" s="90">
        <f>I42-J42</f>
        <v>625.79999999999995</v>
      </c>
      <c r="L42" s="90">
        <v>0</v>
      </c>
      <c r="M42" s="90">
        <f t="shared" si="2"/>
        <v>0</v>
      </c>
      <c r="N42" s="90"/>
      <c r="O42" s="90" t="s">
        <v>444</v>
      </c>
      <c r="P42" s="90" t="s">
        <v>444</v>
      </c>
      <c r="Q42" s="178"/>
      <c r="R42" s="90"/>
      <c r="S42" s="90"/>
      <c r="T42" s="216"/>
      <c r="U42" s="90"/>
    </row>
    <row r="43" spans="1:21" x14ac:dyDescent="0.2">
      <c r="A43" s="76">
        <v>29</v>
      </c>
      <c r="C43" s="172" t="s">
        <v>74</v>
      </c>
      <c r="D43" s="196"/>
      <c r="E43" s="174"/>
      <c r="F43" s="175">
        <f>SUM(F44:F44)</f>
        <v>0</v>
      </c>
      <c r="G43" s="175"/>
      <c r="H43" s="175">
        <f>SUM(H44:H44)</f>
        <v>500</v>
      </c>
      <c r="I43" s="175">
        <f t="shared" si="5"/>
        <v>500</v>
      </c>
      <c r="J43" s="175">
        <f>SUM(J44:J44)</f>
        <v>0</v>
      </c>
      <c r="K43" s="175">
        <f>SUM(K44:K44)</f>
        <v>500</v>
      </c>
      <c r="L43" s="175">
        <v>0</v>
      </c>
      <c r="M43" s="187">
        <f t="shared" si="2"/>
        <v>0</v>
      </c>
      <c r="N43" s="187"/>
      <c r="O43" s="175">
        <v>1250</v>
      </c>
      <c r="P43" s="175">
        <f>O43-I43</f>
        <v>750</v>
      </c>
      <c r="Q43" s="177">
        <f>R43/O43</f>
        <v>0.4</v>
      </c>
      <c r="R43" s="175">
        <f>U43</f>
        <v>500</v>
      </c>
      <c r="S43" s="175"/>
      <c r="T43" s="215"/>
      <c r="U43" s="175">
        <v>500</v>
      </c>
    </row>
    <row r="44" spans="1:21" outlineLevel="1" x14ac:dyDescent="0.2">
      <c r="A44" s="76">
        <v>29</v>
      </c>
      <c r="B44" s="76">
        <v>33</v>
      </c>
      <c r="C44" s="91" t="s">
        <v>323</v>
      </c>
      <c r="D44" s="88">
        <v>1</v>
      </c>
      <c r="E44" s="89">
        <v>300</v>
      </c>
      <c r="F44" s="90">
        <v>0</v>
      </c>
      <c r="G44" s="90">
        <v>500</v>
      </c>
      <c r="H44" s="95">
        <f>G44*D44</f>
        <v>500</v>
      </c>
      <c r="I44" s="90">
        <f t="shared" si="5"/>
        <v>500</v>
      </c>
      <c r="J44" s="90"/>
      <c r="K44" s="90">
        <f>I44-J44</f>
        <v>500</v>
      </c>
      <c r="L44" s="90">
        <v>0</v>
      </c>
      <c r="M44" s="90">
        <f t="shared" si="2"/>
        <v>0</v>
      </c>
      <c r="N44" s="90"/>
      <c r="O44" s="90"/>
      <c r="P44" s="90"/>
      <c r="Q44" s="178"/>
      <c r="R44" s="90"/>
      <c r="S44" s="90"/>
      <c r="T44" s="216"/>
      <c r="U44" s="90"/>
    </row>
    <row r="45" spans="1:21" x14ac:dyDescent="0.2">
      <c r="A45" s="76">
        <v>27</v>
      </c>
      <c r="C45" s="172" t="s">
        <v>4</v>
      </c>
      <c r="D45" s="173"/>
      <c r="E45" s="174"/>
      <c r="F45" s="204">
        <f>SUM(F46:F55)</f>
        <v>4485</v>
      </c>
      <c r="G45" s="175"/>
      <c r="H45" s="175">
        <f>SUM(H46:H55)</f>
        <v>1800</v>
      </c>
      <c r="I45" s="175">
        <f>F45+H45</f>
        <v>6285</v>
      </c>
      <c r="J45" s="175">
        <f>SUM(J46:J55)</f>
        <v>1404.94</v>
      </c>
      <c r="K45" s="175">
        <f>SUM(K46:K55)</f>
        <v>4880.0599999999995</v>
      </c>
      <c r="L45" s="175">
        <v>885</v>
      </c>
      <c r="M45" s="175">
        <v>520</v>
      </c>
      <c r="N45" s="175"/>
      <c r="O45" s="175">
        <v>3950</v>
      </c>
      <c r="P45" s="175">
        <f>O45-I45</f>
        <v>-2335</v>
      </c>
      <c r="Q45" s="177">
        <f>R45/O45</f>
        <v>0.48227848101265824</v>
      </c>
      <c r="R45" s="175">
        <f>S45+T45+U45</f>
        <v>1905</v>
      </c>
      <c r="S45" s="175">
        <v>885</v>
      </c>
      <c r="T45" s="215">
        <v>520</v>
      </c>
      <c r="U45" s="175">
        <v>500</v>
      </c>
    </row>
    <row r="46" spans="1:21" s="76" customFormat="1" outlineLevel="1" x14ac:dyDescent="0.2">
      <c r="A46" s="76">
        <v>27</v>
      </c>
      <c r="B46" s="76">
        <v>34</v>
      </c>
      <c r="C46" s="87" t="s">
        <v>332</v>
      </c>
      <c r="D46" s="88">
        <v>1</v>
      </c>
      <c r="E46" s="89">
        <v>300</v>
      </c>
      <c r="F46" s="90">
        <f>E46*D46</f>
        <v>300</v>
      </c>
      <c r="G46" s="90"/>
      <c r="H46" s="95">
        <f>G46*D46</f>
        <v>0</v>
      </c>
      <c r="I46" s="90">
        <f t="shared" si="5"/>
        <v>300</v>
      </c>
      <c r="J46" s="90"/>
      <c r="K46" s="90">
        <f t="shared" ref="K46:K54" si="6">I46-J46</f>
        <v>300</v>
      </c>
      <c r="L46" s="90">
        <v>0</v>
      </c>
      <c r="M46" s="90">
        <f t="shared" si="2"/>
        <v>0</v>
      </c>
      <c r="N46" s="90"/>
      <c r="O46" s="90" t="s">
        <v>444</v>
      </c>
      <c r="P46" s="90" t="s">
        <v>444</v>
      </c>
      <c r="Q46" s="178"/>
      <c r="R46" s="90"/>
      <c r="S46" s="90"/>
      <c r="T46" s="216"/>
      <c r="U46" s="90"/>
    </row>
    <row r="47" spans="1:21" outlineLevel="1" x14ac:dyDescent="0.2">
      <c r="A47" s="76">
        <v>27</v>
      </c>
      <c r="B47">
        <v>35</v>
      </c>
      <c r="C47" s="91" t="s">
        <v>333</v>
      </c>
      <c r="D47" s="88">
        <v>1</v>
      </c>
      <c r="E47" s="89">
        <v>550</v>
      </c>
      <c r="F47" s="90">
        <f>E47*D47</f>
        <v>550</v>
      </c>
      <c r="G47" s="90"/>
      <c r="H47" s="95">
        <f>G47*D47</f>
        <v>0</v>
      </c>
      <c r="I47" s="90">
        <f t="shared" si="5"/>
        <v>550</v>
      </c>
      <c r="J47" s="90"/>
      <c r="K47" s="90">
        <f t="shared" si="6"/>
        <v>550</v>
      </c>
      <c r="L47" s="90">
        <v>0</v>
      </c>
      <c r="M47" s="90">
        <f t="shared" si="2"/>
        <v>0</v>
      </c>
      <c r="N47" s="90"/>
      <c r="O47" s="90" t="s">
        <v>444</v>
      </c>
      <c r="P47" s="90" t="s">
        <v>444</v>
      </c>
      <c r="Q47" s="178"/>
      <c r="R47" s="90"/>
      <c r="S47" s="90"/>
      <c r="T47" s="216"/>
      <c r="U47" s="90"/>
    </row>
    <row r="48" spans="1:21" outlineLevel="1" x14ac:dyDescent="0.2">
      <c r="A48" s="76">
        <v>27</v>
      </c>
      <c r="B48" s="76">
        <v>36</v>
      </c>
      <c r="C48" s="91" t="s">
        <v>334</v>
      </c>
      <c r="D48" s="88">
        <v>1</v>
      </c>
      <c r="E48" s="89">
        <v>550</v>
      </c>
      <c r="F48" s="90">
        <f t="shared" ref="F48:F54" si="7">E48*D48</f>
        <v>550</v>
      </c>
      <c r="G48" s="90">
        <v>300</v>
      </c>
      <c r="H48" s="95">
        <f>G48*D48</f>
        <v>300</v>
      </c>
      <c r="I48" s="90">
        <f t="shared" si="5"/>
        <v>850</v>
      </c>
      <c r="J48" s="90"/>
      <c r="K48" s="90">
        <f t="shared" si="6"/>
        <v>850</v>
      </c>
      <c r="L48" s="90">
        <v>0</v>
      </c>
      <c r="M48" s="90">
        <f t="shared" si="2"/>
        <v>0</v>
      </c>
      <c r="N48" s="90"/>
      <c r="O48" s="90" t="s">
        <v>444</v>
      </c>
      <c r="P48" s="90" t="s">
        <v>444</v>
      </c>
      <c r="Q48" s="178"/>
      <c r="R48" s="90"/>
      <c r="S48" s="90"/>
      <c r="T48" s="216"/>
      <c r="U48" s="90"/>
    </row>
    <row r="49" spans="1:21" outlineLevel="1" x14ac:dyDescent="0.2">
      <c r="A49" s="76">
        <v>27</v>
      </c>
      <c r="B49" s="76">
        <v>36.1</v>
      </c>
      <c r="C49" s="91" t="s">
        <v>335</v>
      </c>
      <c r="D49" s="88">
        <v>1</v>
      </c>
      <c r="E49" s="89">
        <v>550</v>
      </c>
      <c r="F49" s="90">
        <f t="shared" si="7"/>
        <v>550</v>
      </c>
      <c r="G49" s="90">
        <v>700</v>
      </c>
      <c r="H49" s="95">
        <f>G49*D49</f>
        <v>700</v>
      </c>
      <c r="I49" s="90">
        <f t="shared" si="5"/>
        <v>1250</v>
      </c>
      <c r="J49" s="90"/>
      <c r="K49" s="90">
        <f t="shared" si="6"/>
        <v>1250</v>
      </c>
      <c r="L49" s="90">
        <v>0</v>
      </c>
      <c r="M49" s="90">
        <f t="shared" si="2"/>
        <v>0</v>
      </c>
      <c r="N49" s="90"/>
      <c r="O49" s="90" t="s">
        <v>444</v>
      </c>
      <c r="P49" s="90" t="s">
        <v>444</v>
      </c>
      <c r="Q49" s="178"/>
      <c r="R49" s="90"/>
      <c r="S49" s="90"/>
      <c r="T49" s="216"/>
      <c r="U49" s="90"/>
    </row>
    <row r="50" spans="1:21" outlineLevel="1" x14ac:dyDescent="0.2">
      <c r="A50" s="76">
        <v>27</v>
      </c>
      <c r="B50">
        <v>37</v>
      </c>
      <c r="C50" s="87" t="s">
        <v>338</v>
      </c>
      <c r="D50" s="92">
        <v>2</v>
      </c>
      <c r="E50" s="89">
        <v>550</v>
      </c>
      <c r="F50" s="90">
        <f>E50*D50</f>
        <v>1100</v>
      </c>
      <c r="G50" s="90">
        <v>150</v>
      </c>
      <c r="H50" s="95">
        <f>G50*D50</f>
        <v>300</v>
      </c>
      <c r="I50" s="90">
        <f t="shared" si="5"/>
        <v>1400</v>
      </c>
      <c r="J50" s="90"/>
      <c r="K50" s="90">
        <f t="shared" si="6"/>
        <v>1400</v>
      </c>
      <c r="L50" s="90">
        <v>0</v>
      </c>
      <c r="M50" s="90">
        <f t="shared" si="2"/>
        <v>0</v>
      </c>
      <c r="N50" s="90"/>
      <c r="O50" s="90" t="s">
        <v>444</v>
      </c>
      <c r="P50" s="90" t="s">
        <v>444</v>
      </c>
      <c r="Q50" s="178"/>
      <c r="R50" s="90"/>
      <c r="S50" s="90"/>
      <c r="T50" s="216"/>
      <c r="U50" s="90"/>
    </row>
    <row r="51" spans="1:21" outlineLevel="1" x14ac:dyDescent="0.2">
      <c r="A51" s="76">
        <v>27</v>
      </c>
      <c r="B51" s="76">
        <v>38</v>
      </c>
      <c r="C51" s="91" t="s">
        <v>336</v>
      </c>
      <c r="D51" s="88">
        <v>1</v>
      </c>
      <c r="E51" s="89">
        <v>375</v>
      </c>
      <c r="F51" s="90">
        <f t="shared" si="7"/>
        <v>375</v>
      </c>
      <c r="G51" s="90"/>
      <c r="H51" s="95"/>
      <c r="I51" s="90">
        <f t="shared" si="5"/>
        <v>375</v>
      </c>
      <c r="J51" s="90">
        <v>375</v>
      </c>
      <c r="K51" s="90">
        <f t="shared" si="6"/>
        <v>0</v>
      </c>
      <c r="L51" s="90">
        <v>375</v>
      </c>
      <c r="M51" s="90">
        <f t="shared" si="2"/>
        <v>0</v>
      </c>
      <c r="N51" s="90"/>
      <c r="O51" s="90" t="s">
        <v>444</v>
      </c>
      <c r="P51" s="90" t="s">
        <v>444</v>
      </c>
      <c r="Q51" s="178"/>
      <c r="R51" s="90"/>
      <c r="S51" s="90"/>
      <c r="T51" s="216"/>
      <c r="U51" s="90"/>
    </row>
    <row r="52" spans="1:21" outlineLevel="1" x14ac:dyDescent="0.2">
      <c r="A52" s="76">
        <v>27</v>
      </c>
      <c r="B52" s="76">
        <v>38.1</v>
      </c>
      <c r="C52" s="91" t="s">
        <v>438</v>
      </c>
      <c r="D52" s="88"/>
      <c r="E52" s="89"/>
      <c r="F52" s="90">
        <v>135</v>
      </c>
      <c r="G52" s="90"/>
      <c r="H52" s="95"/>
      <c r="I52" s="90">
        <f t="shared" si="5"/>
        <v>135</v>
      </c>
      <c r="J52" s="90">
        <v>135</v>
      </c>
      <c r="K52" s="90">
        <f>F52-J52</f>
        <v>0</v>
      </c>
      <c r="L52" s="90">
        <v>135</v>
      </c>
      <c r="M52" s="90">
        <f t="shared" si="2"/>
        <v>0</v>
      </c>
      <c r="N52" s="90"/>
      <c r="O52" s="90" t="s">
        <v>444</v>
      </c>
      <c r="P52" s="90" t="s">
        <v>444</v>
      </c>
      <c r="Q52" s="178"/>
      <c r="R52" s="90"/>
      <c r="S52" s="90"/>
      <c r="T52" s="216"/>
      <c r="U52" s="90"/>
    </row>
    <row r="53" spans="1:21" outlineLevel="1" x14ac:dyDescent="0.2">
      <c r="A53" s="76">
        <v>27</v>
      </c>
      <c r="B53" s="76">
        <v>39</v>
      </c>
      <c r="C53" s="91" t="s">
        <v>337</v>
      </c>
      <c r="D53" s="88">
        <v>1</v>
      </c>
      <c r="E53" s="89">
        <v>375</v>
      </c>
      <c r="F53" s="90">
        <f t="shared" si="7"/>
        <v>375</v>
      </c>
      <c r="G53" s="90"/>
      <c r="H53" s="95"/>
      <c r="I53" s="90">
        <f t="shared" si="5"/>
        <v>375</v>
      </c>
      <c r="J53" s="90">
        <v>375</v>
      </c>
      <c r="K53" s="90">
        <f t="shared" si="6"/>
        <v>0</v>
      </c>
      <c r="L53" s="90">
        <v>375</v>
      </c>
      <c r="M53" s="90">
        <f t="shared" si="2"/>
        <v>0</v>
      </c>
      <c r="N53" s="90"/>
      <c r="O53" s="90" t="s">
        <v>444</v>
      </c>
      <c r="P53" s="90" t="s">
        <v>444</v>
      </c>
      <c r="Q53" s="178"/>
      <c r="R53" s="90"/>
      <c r="S53" s="90"/>
      <c r="T53" s="216"/>
      <c r="U53" s="90"/>
    </row>
    <row r="54" spans="1:21" outlineLevel="1" x14ac:dyDescent="0.2">
      <c r="A54" s="76">
        <v>27</v>
      </c>
      <c r="B54" s="76">
        <v>40</v>
      </c>
      <c r="C54" s="87" t="s">
        <v>339</v>
      </c>
      <c r="D54" s="92">
        <v>1</v>
      </c>
      <c r="E54" s="89">
        <v>550</v>
      </c>
      <c r="F54" s="90">
        <f t="shared" si="7"/>
        <v>550</v>
      </c>
      <c r="G54" s="90">
        <v>500</v>
      </c>
      <c r="H54" s="95">
        <f>G54*D54</f>
        <v>500</v>
      </c>
      <c r="I54" s="90">
        <f t="shared" si="5"/>
        <v>1050</v>
      </c>
      <c r="J54" s="90">
        <v>519.94000000000005</v>
      </c>
      <c r="K54" s="90">
        <f t="shared" si="6"/>
        <v>530.05999999999995</v>
      </c>
      <c r="L54" s="90">
        <v>0</v>
      </c>
      <c r="M54" s="90">
        <f t="shared" si="2"/>
        <v>519.94000000000005</v>
      </c>
      <c r="N54" s="90"/>
      <c r="O54" s="90" t="s">
        <v>444</v>
      </c>
      <c r="P54" s="90" t="s">
        <v>444</v>
      </c>
      <c r="Q54" s="178"/>
      <c r="R54" s="90"/>
      <c r="S54" s="90"/>
      <c r="T54" s="216"/>
      <c r="U54" s="90"/>
    </row>
    <row r="55" spans="1:21" outlineLevel="1" x14ac:dyDescent="0.2">
      <c r="A55" s="76">
        <v>27</v>
      </c>
      <c r="B55" s="76">
        <v>41</v>
      </c>
      <c r="C55" s="91" t="s">
        <v>324</v>
      </c>
      <c r="D55" s="92">
        <v>1</v>
      </c>
      <c r="E55" s="89">
        <v>550</v>
      </c>
      <c r="F55" s="90">
        <v>0</v>
      </c>
      <c r="G55" s="90">
        <v>150</v>
      </c>
      <c r="H55" s="95">
        <v>0</v>
      </c>
      <c r="I55" s="90">
        <v>0</v>
      </c>
      <c r="J55" s="90"/>
      <c r="K55" s="90">
        <f>I55-J55</f>
        <v>0</v>
      </c>
      <c r="L55" s="90">
        <v>0</v>
      </c>
      <c r="M55" s="90">
        <f t="shared" si="2"/>
        <v>0</v>
      </c>
      <c r="N55" s="90"/>
      <c r="O55" s="90" t="s">
        <v>444</v>
      </c>
      <c r="P55" s="90" t="s">
        <v>444</v>
      </c>
      <c r="Q55" s="178"/>
      <c r="R55" s="90"/>
      <c r="S55" s="90"/>
      <c r="T55" s="216"/>
      <c r="U55" s="90"/>
    </row>
    <row r="56" spans="1:21" x14ac:dyDescent="0.2">
      <c r="A56" s="76">
        <v>28</v>
      </c>
      <c r="C56" s="172" t="s">
        <v>3</v>
      </c>
      <c r="D56" s="196"/>
      <c r="E56" s="174">
        <f ca="1">SUM(E56:E61)</f>
        <v>0</v>
      </c>
      <c r="F56" s="175">
        <f>SUM(F57:F61)</f>
        <v>0</v>
      </c>
      <c r="G56" s="175"/>
      <c r="H56" s="175">
        <f>SUM(H57:H61)</f>
        <v>2530</v>
      </c>
      <c r="I56" s="175">
        <f t="shared" si="5"/>
        <v>2530</v>
      </c>
      <c r="J56" s="175">
        <f>SUM(J57:J61)</f>
        <v>4.0999999999999996</v>
      </c>
      <c r="K56" s="175">
        <f>SUM(K57:K61)</f>
        <v>2525.9</v>
      </c>
      <c r="L56" s="175">
        <v>0</v>
      </c>
      <c r="M56" s="175">
        <v>4</v>
      </c>
      <c r="N56" s="175"/>
      <c r="O56" s="175">
        <v>6985</v>
      </c>
      <c r="P56" s="175">
        <f>O56-I56</f>
        <v>4455</v>
      </c>
      <c r="Q56" s="177">
        <f>R56/O56</f>
        <v>0.14316392269148176</v>
      </c>
      <c r="R56" s="175">
        <f>U56</f>
        <v>1000</v>
      </c>
      <c r="S56" s="175"/>
      <c r="T56" s="215"/>
      <c r="U56" s="175">
        <v>1000</v>
      </c>
    </row>
    <row r="57" spans="1:21" outlineLevel="1" x14ac:dyDescent="0.2">
      <c r="A57" s="76">
        <v>28</v>
      </c>
      <c r="B57">
        <v>42</v>
      </c>
      <c r="C57" s="197" t="s">
        <v>274</v>
      </c>
      <c r="D57" s="164">
        <v>19</v>
      </c>
      <c r="E57" s="89">
        <v>40</v>
      </c>
      <c r="F57" s="90"/>
      <c r="G57" s="89">
        <v>0</v>
      </c>
      <c r="H57" s="90">
        <v>500</v>
      </c>
      <c r="I57" s="90">
        <f t="shared" si="5"/>
        <v>500</v>
      </c>
      <c r="J57" s="90"/>
      <c r="K57" s="90">
        <f>I57-J57</f>
        <v>500</v>
      </c>
      <c r="L57" s="90">
        <v>0</v>
      </c>
      <c r="M57" s="90">
        <f t="shared" si="2"/>
        <v>0</v>
      </c>
      <c r="N57" s="90"/>
      <c r="O57" s="90" t="s">
        <v>444</v>
      </c>
      <c r="P57" s="90" t="s">
        <v>444</v>
      </c>
      <c r="Q57" s="178"/>
      <c r="R57" s="90"/>
      <c r="S57" s="90"/>
      <c r="T57" s="216"/>
      <c r="U57" s="90"/>
    </row>
    <row r="58" spans="1:21" outlineLevel="1" x14ac:dyDescent="0.2">
      <c r="A58" s="76">
        <v>28</v>
      </c>
      <c r="B58">
        <v>43</v>
      </c>
      <c r="C58" s="197" t="s">
        <v>275</v>
      </c>
      <c r="D58" s="164">
        <v>25</v>
      </c>
      <c r="E58" s="89">
        <v>40</v>
      </c>
      <c r="F58" s="90"/>
      <c r="G58" s="90">
        <v>10</v>
      </c>
      <c r="H58" s="90">
        <f>G58*D58</f>
        <v>250</v>
      </c>
      <c r="I58" s="90">
        <f t="shared" si="5"/>
        <v>250</v>
      </c>
      <c r="J58" s="90">
        <v>4.0999999999999996</v>
      </c>
      <c r="K58" s="90">
        <f>I58-J58</f>
        <v>245.9</v>
      </c>
      <c r="L58" s="90">
        <v>0</v>
      </c>
      <c r="M58" s="90">
        <f t="shared" si="2"/>
        <v>4.0999999999999996</v>
      </c>
      <c r="N58" s="90"/>
      <c r="O58" s="90" t="s">
        <v>444</v>
      </c>
      <c r="P58" s="90" t="s">
        <v>444</v>
      </c>
      <c r="Q58" s="178"/>
      <c r="R58" s="90"/>
      <c r="S58" s="90"/>
      <c r="T58" s="216"/>
      <c r="U58" s="90"/>
    </row>
    <row r="59" spans="1:21" outlineLevel="1" x14ac:dyDescent="0.2">
      <c r="A59" s="76">
        <v>28</v>
      </c>
      <c r="B59">
        <v>44</v>
      </c>
      <c r="C59" s="197" t="s">
        <v>322</v>
      </c>
      <c r="D59" s="164"/>
      <c r="E59" s="89">
        <v>75</v>
      </c>
      <c r="F59" s="90"/>
      <c r="G59" s="90"/>
      <c r="H59" s="90">
        <v>300</v>
      </c>
      <c r="I59" s="90">
        <f t="shared" si="5"/>
        <v>300</v>
      </c>
      <c r="J59" s="90"/>
      <c r="K59" s="90">
        <f>I59-J59</f>
        <v>300</v>
      </c>
      <c r="L59" s="90">
        <v>0</v>
      </c>
      <c r="M59" s="90">
        <f t="shared" si="2"/>
        <v>0</v>
      </c>
      <c r="N59" s="90"/>
      <c r="O59" s="90" t="s">
        <v>444</v>
      </c>
      <c r="P59" s="90" t="s">
        <v>444</v>
      </c>
      <c r="Q59" s="178"/>
      <c r="R59" s="90"/>
      <c r="S59" s="90"/>
      <c r="T59" s="216"/>
      <c r="U59" s="90"/>
    </row>
    <row r="60" spans="1:21" outlineLevel="1" x14ac:dyDescent="0.2">
      <c r="A60" s="76">
        <v>28</v>
      </c>
      <c r="B60">
        <v>45</v>
      </c>
      <c r="C60" s="197" t="s">
        <v>276</v>
      </c>
      <c r="D60" s="164">
        <v>17</v>
      </c>
      <c r="E60" s="89">
        <v>35</v>
      </c>
      <c r="F60" s="90"/>
      <c r="G60" s="90">
        <v>40</v>
      </c>
      <c r="H60" s="90">
        <f>G60*D60</f>
        <v>680</v>
      </c>
      <c r="I60" s="90">
        <f t="shared" si="5"/>
        <v>680</v>
      </c>
      <c r="J60" s="90"/>
      <c r="K60" s="90">
        <f>I60-J60</f>
        <v>680</v>
      </c>
      <c r="L60" s="90">
        <v>0</v>
      </c>
      <c r="M60" s="90">
        <f t="shared" si="2"/>
        <v>0</v>
      </c>
      <c r="N60" s="90"/>
      <c r="O60" s="90" t="s">
        <v>444</v>
      </c>
      <c r="P60" s="90" t="s">
        <v>444</v>
      </c>
      <c r="Q60" s="178"/>
      <c r="R60" s="90"/>
      <c r="S60" s="90"/>
      <c r="T60" s="216"/>
      <c r="U60" s="90"/>
    </row>
    <row r="61" spans="1:21" outlineLevel="1" x14ac:dyDescent="0.2">
      <c r="A61" s="76">
        <v>28</v>
      </c>
      <c r="B61">
        <v>46</v>
      </c>
      <c r="C61" s="197" t="s">
        <v>306</v>
      </c>
      <c r="D61" s="164">
        <v>1</v>
      </c>
      <c r="E61" s="89">
        <v>2500</v>
      </c>
      <c r="F61" s="90"/>
      <c r="G61" s="90"/>
      <c r="H61" s="90">
        <v>800</v>
      </c>
      <c r="I61" s="90">
        <f t="shared" si="5"/>
        <v>800</v>
      </c>
      <c r="J61" s="90"/>
      <c r="K61" s="90">
        <f>I61-J61</f>
        <v>800</v>
      </c>
      <c r="L61" s="90">
        <v>0</v>
      </c>
      <c r="M61" s="90">
        <f t="shared" si="2"/>
        <v>0</v>
      </c>
      <c r="N61" s="90"/>
      <c r="O61" s="90" t="s">
        <v>444</v>
      </c>
      <c r="P61" s="90" t="s">
        <v>444</v>
      </c>
      <c r="Q61" s="178"/>
      <c r="R61" s="90"/>
      <c r="S61" s="90"/>
      <c r="T61" s="216"/>
      <c r="U61" s="90"/>
    </row>
    <row r="62" spans="1:21" x14ac:dyDescent="0.2">
      <c r="A62" s="76">
        <v>23</v>
      </c>
      <c r="C62" s="172" t="s">
        <v>15</v>
      </c>
      <c r="D62" s="193"/>
      <c r="E62" s="198"/>
      <c r="F62" s="175">
        <f>SUM(F63:F63)</f>
        <v>0</v>
      </c>
      <c r="G62" s="175"/>
      <c r="H62" s="175">
        <f>SUM(H63:H63)</f>
        <v>2922.5</v>
      </c>
      <c r="I62" s="175">
        <f t="shared" si="5"/>
        <v>2922.5</v>
      </c>
      <c r="J62" s="175">
        <f>SUM(J63:J63)</f>
        <v>0</v>
      </c>
      <c r="K62" s="175">
        <f>SUM(K63:K63)</f>
        <v>2922.5</v>
      </c>
      <c r="L62" s="175">
        <v>0</v>
      </c>
      <c r="M62" s="187">
        <f t="shared" si="2"/>
        <v>0</v>
      </c>
      <c r="N62" s="187"/>
      <c r="O62" s="175">
        <v>6137</v>
      </c>
      <c r="P62" s="175">
        <f>O62-I62</f>
        <v>3214.5</v>
      </c>
      <c r="Q62" s="177">
        <f>R62/O62</f>
        <v>0.32589212970506765</v>
      </c>
      <c r="R62" s="175">
        <f>U62</f>
        <v>2000</v>
      </c>
      <c r="S62" s="175"/>
      <c r="T62" s="215"/>
      <c r="U62" s="175">
        <v>2000</v>
      </c>
    </row>
    <row r="63" spans="1:21" outlineLevel="1" x14ac:dyDescent="0.2">
      <c r="A63" s="76">
        <v>23</v>
      </c>
      <c r="B63">
        <v>47</v>
      </c>
      <c r="C63" s="91" t="s">
        <v>75</v>
      </c>
      <c r="D63" s="88">
        <f>163+524+588-106</f>
        <v>1169</v>
      </c>
      <c r="E63" s="89"/>
      <c r="F63" s="90">
        <f>E63*D63</f>
        <v>0</v>
      </c>
      <c r="G63" s="89">
        <v>2.5</v>
      </c>
      <c r="H63" s="90">
        <f>G63*D63</f>
        <v>2922.5</v>
      </c>
      <c r="I63" s="90">
        <f>F63+H63</f>
        <v>2922.5</v>
      </c>
      <c r="J63" s="90"/>
      <c r="K63" s="90">
        <f>I63-J63</f>
        <v>2922.5</v>
      </c>
      <c r="L63" s="90">
        <v>0</v>
      </c>
      <c r="M63" s="90">
        <f t="shared" si="2"/>
        <v>0</v>
      </c>
      <c r="N63" s="90"/>
      <c r="O63" s="90" t="s">
        <v>444</v>
      </c>
      <c r="P63" s="90" t="s">
        <v>444</v>
      </c>
      <c r="Q63" s="178"/>
      <c r="R63" s="90"/>
      <c r="S63" s="90"/>
      <c r="T63" s="216"/>
      <c r="U63" s="90"/>
    </row>
    <row r="64" spans="1:21" x14ac:dyDescent="0.2">
      <c r="A64" s="76">
        <v>32</v>
      </c>
      <c r="C64" s="172" t="s">
        <v>16</v>
      </c>
      <c r="D64" s="196"/>
      <c r="E64" s="196"/>
      <c r="F64" s="199"/>
      <c r="G64" s="175"/>
      <c r="H64" s="175">
        <f>SUM(H65:H66)</f>
        <v>850</v>
      </c>
      <c r="I64" s="175">
        <f>H64</f>
        <v>850</v>
      </c>
      <c r="J64" s="175">
        <f>SUM(J65:J66)</f>
        <v>0</v>
      </c>
      <c r="K64" s="175">
        <f>SUM(K65:K66)</f>
        <v>850</v>
      </c>
      <c r="L64" s="175">
        <v>0</v>
      </c>
      <c r="M64" s="187">
        <f t="shared" si="2"/>
        <v>0</v>
      </c>
      <c r="N64" s="187"/>
      <c r="O64" s="175">
        <v>1000</v>
      </c>
      <c r="P64" s="175">
        <f>O64-I64</f>
        <v>150</v>
      </c>
      <c r="Q64" s="177">
        <f>R64/O64</f>
        <v>0.5</v>
      </c>
      <c r="R64" s="175">
        <f>U64</f>
        <v>500</v>
      </c>
      <c r="S64" s="175"/>
      <c r="T64" s="215"/>
      <c r="U64" s="175">
        <v>500</v>
      </c>
    </row>
    <row r="65" spans="1:21" outlineLevel="1" x14ac:dyDescent="0.2">
      <c r="A65" s="76">
        <v>32</v>
      </c>
      <c r="B65">
        <v>48</v>
      </c>
      <c r="C65" s="87" t="s">
        <v>5</v>
      </c>
      <c r="D65" s="92">
        <v>1</v>
      </c>
      <c r="E65" s="183"/>
      <c r="F65" s="97"/>
      <c r="G65" s="97"/>
      <c r="H65" s="97">
        <v>500</v>
      </c>
      <c r="I65" s="90">
        <f t="shared" ref="I65:I76" si="8">F65+H65</f>
        <v>500</v>
      </c>
      <c r="J65" s="90"/>
      <c r="K65" s="90">
        <f>I65-J65</f>
        <v>500</v>
      </c>
      <c r="L65" s="90">
        <v>0</v>
      </c>
      <c r="M65" s="90">
        <f t="shared" si="2"/>
        <v>0</v>
      </c>
      <c r="N65" s="90"/>
      <c r="O65" s="90" t="s">
        <v>444</v>
      </c>
      <c r="P65" s="90" t="s">
        <v>444</v>
      </c>
      <c r="Q65" s="178"/>
      <c r="R65" s="90"/>
      <c r="S65" s="90"/>
      <c r="T65" s="216"/>
      <c r="U65" s="90"/>
    </row>
    <row r="66" spans="1:21" outlineLevel="1" x14ac:dyDescent="0.2">
      <c r="A66" s="76">
        <v>32</v>
      </c>
      <c r="B66">
        <v>49</v>
      </c>
      <c r="C66" s="87" t="s">
        <v>447</v>
      </c>
      <c r="D66" s="92">
        <v>1</v>
      </c>
      <c r="E66" s="183"/>
      <c r="F66" s="97"/>
      <c r="G66" s="97"/>
      <c r="H66" s="97">
        <v>350</v>
      </c>
      <c r="I66" s="90">
        <f t="shared" si="8"/>
        <v>350</v>
      </c>
      <c r="J66" s="90"/>
      <c r="K66" s="90">
        <f>I66-J66</f>
        <v>350</v>
      </c>
      <c r="L66" s="90">
        <v>0</v>
      </c>
      <c r="M66" s="90">
        <f t="shared" si="2"/>
        <v>0</v>
      </c>
      <c r="N66" s="90"/>
      <c r="O66" s="90" t="s">
        <v>444</v>
      </c>
      <c r="P66" s="90" t="s">
        <v>444</v>
      </c>
      <c r="Q66" s="178"/>
      <c r="R66" s="90"/>
      <c r="S66" s="90"/>
      <c r="T66" s="216"/>
      <c r="U66" s="90"/>
    </row>
    <row r="67" spans="1:21" x14ac:dyDescent="0.2">
      <c r="A67" s="76">
        <v>11</v>
      </c>
      <c r="C67" s="172" t="s">
        <v>14</v>
      </c>
      <c r="D67" s="173"/>
      <c r="E67" s="174"/>
      <c r="F67" s="175">
        <f>SUM(F68:F69)</f>
        <v>3412.5</v>
      </c>
      <c r="G67" s="175"/>
      <c r="H67" s="175">
        <f>SUM(H68:H69)</f>
        <v>4364</v>
      </c>
      <c r="I67" s="175">
        <f t="shared" si="8"/>
        <v>7776.5</v>
      </c>
      <c r="J67" s="175">
        <f>SUM(J68:J69)</f>
        <v>7776.39</v>
      </c>
      <c r="K67" s="175">
        <f>SUM(K68:K69)</f>
        <v>0.10999999999967258</v>
      </c>
      <c r="L67" s="175">
        <v>7776</v>
      </c>
      <c r="M67" s="175">
        <f t="shared" si="2"/>
        <v>0.39000000000032742</v>
      </c>
      <c r="N67" s="175"/>
      <c r="O67" s="175">
        <v>0</v>
      </c>
      <c r="P67" s="175">
        <f>O67-I67</f>
        <v>-7776.5</v>
      </c>
      <c r="Q67" s="177">
        <f>Q69</f>
        <v>1</v>
      </c>
      <c r="R67" s="175">
        <f>R69</f>
        <v>10352</v>
      </c>
      <c r="S67" s="175">
        <v>10352</v>
      </c>
      <c r="T67" s="215">
        <f>R67-S67</f>
        <v>0</v>
      </c>
      <c r="U67" s="175"/>
    </row>
    <row r="68" spans="1:21" outlineLevel="1" x14ac:dyDescent="0.2">
      <c r="A68" s="76"/>
      <c r="B68">
        <v>50</v>
      </c>
      <c r="C68" s="91" t="s">
        <v>307</v>
      </c>
      <c r="D68" s="88">
        <v>1</v>
      </c>
      <c r="E68" s="89"/>
      <c r="F68" s="90">
        <f>E68*D68</f>
        <v>0</v>
      </c>
      <c r="G68" s="88">
        <v>1</v>
      </c>
      <c r="H68" s="89">
        <v>0</v>
      </c>
      <c r="I68" s="90">
        <f t="shared" si="8"/>
        <v>0</v>
      </c>
      <c r="J68" s="90"/>
      <c r="K68" s="90">
        <f>I68-J68</f>
        <v>0</v>
      </c>
      <c r="L68" s="90"/>
      <c r="M68" s="90">
        <f t="shared" si="2"/>
        <v>0</v>
      </c>
      <c r="N68" s="90"/>
      <c r="O68" s="90"/>
      <c r="P68" s="90"/>
      <c r="Q68" s="178"/>
      <c r="R68" s="90"/>
      <c r="S68" s="90"/>
      <c r="T68" s="216"/>
      <c r="U68" s="90"/>
    </row>
    <row r="69" spans="1:21" outlineLevel="1" x14ac:dyDescent="0.2">
      <c r="A69" s="76">
        <v>11</v>
      </c>
      <c r="B69">
        <v>51</v>
      </c>
      <c r="C69" s="91" t="s">
        <v>259</v>
      </c>
      <c r="D69" s="88">
        <v>650</v>
      </c>
      <c r="E69" s="89">
        <v>5.25</v>
      </c>
      <c r="F69" s="90">
        <f>E69*D69</f>
        <v>3412.5</v>
      </c>
      <c r="G69" s="90">
        <v>5.5</v>
      </c>
      <c r="H69" s="95">
        <v>4364</v>
      </c>
      <c r="I69" s="90">
        <f>H69+F69</f>
        <v>7776.5</v>
      </c>
      <c r="J69" s="90">
        <v>7776.39</v>
      </c>
      <c r="K69" s="90">
        <f>I69-J69</f>
        <v>0.10999999999967258</v>
      </c>
      <c r="L69" s="90">
        <v>7776</v>
      </c>
      <c r="M69" s="90">
        <f t="shared" si="2"/>
        <v>0.39000000000032742</v>
      </c>
      <c r="N69" s="90"/>
      <c r="O69" s="188">
        <v>10352</v>
      </c>
      <c r="P69" s="188">
        <f>O69-I67</f>
        <v>2575.5</v>
      </c>
      <c r="Q69" s="189">
        <f>R69/O69</f>
        <v>1</v>
      </c>
      <c r="R69" s="190">
        <v>10352</v>
      </c>
      <c r="S69" s="190">
        <v>10352</v>
      </c>
      <c r="T69" s="217"/>
      <c r="U69" s="190"/>
    </row>
    <row r="70" spans="1:21" x14ac:dyDescent="0.2">
      <c r="A70" s="76"/>
      <c r="C70" s="172" t="s">
        <v>29</v>
      </c>
      <c r="D70" s="173"/>
      <c r="E70" s="174"/>
      <c r="F70" s="175">
        <f>SUM(F71:F74)</f>
        <v>550</v>
      </c>
      <c r="G70" s="175"/>
      <c r="H70" s="175">
        <f>SUM(H71:H74)</f>
        <v>2328</v>
      </c>
      <c r="I70" s="175">
        <f>F70+H70</f>
        <v>2878</v>
      </c>
      <c r="J70" s="175">
        <f>SUM(J71:J74)</f>
        <v>2904.32</v>
      </c>
      <c r="K70" s="175">
        <f>SUM(K71:K74)</f>
        <v>-26.1099999999999</v>
      </c>
      <c r="L70" s="175">
        <v>2878</v>
      </c>
      <c r="M70" s="175">
        <v>0</v>
      </c>
      <c r="N70" s="175">
        <f>J70-L70-M70</f>
        <v>26.320000000000164</v>
      </c>
      <c r="O70" s="175">
        <v>0</v>
      </c>
      <c r="P70" s="175">
        <f>O70-I70</f>
        <v>-2878</v>
      </c>
      <c r="Q70" s="200">
        <v>0</v>
      </c>
      <c r="R70" s="175">
        <v>0</v>
      </c>
      <c r="S70" s="175"/>
      <c r="T70" s="215">
        <f>R70-S70</f>
        <v>0</v>
      </c>
      <c r="U70" s="175"/>
    </row>
    <row r="71" spans="1:21" outlineLevel="1" x14ac:dyDescent="0.2">
      <c r="A71" s="76"/>
      <c r="B71">
        <v>52</v>
      </c>
      <c r="C71" s="91" t="s">
        <v>416</v>
      </c>
      <c r="D71" s="88">
        <v>1</v>
      </c>
      <c r="E71" s="90">
        <v>50</v>
      </c>
      <c r="F71" s="90">
        <v>250</v>
      </c>
      <c r="G71" s="90">
        <v>1083</v>
      </c>
      <c r="H71" s="90">
        <v>1083</v>
      </c>
      <c r="I71" s="90">
        <v>1332.89</v>
      </c>
      <c r="J71" s="90">
        <v>1359</v>
      </c>
      <c r="K71" s="90">
        <f>I71-J71</f>
        <v>-26.1099999999999</v>
      </c>
      <c r="L71" s="90">
        <v>1333</v>
      </c>
      <c r="M71" s="90">
        <v>0</v>
      </c>
      <c r="N71" s="90">
        <f>J71-L71-M71</f>
        <v>26</v>
      </c>
      <c r="O71" s="90" t="s">
        <v>444</v>
      </c>
      <c r="P71" s="90" t="s">
        <v>444</v>
      </c>
      <c r="Q71" s="178"/>
      <c r="R71" s="90"/>
      <c r="S71" s="90"/>
      <c r="T71" s="216"/>
      <c r="U71" s="90"/>
    </row>
    <row r="72" spans="1:21" outlineLevel="1" x14ac:dyDescent="0.2">
      <c r="A72" s="76"/>
      <c r="B72">
        <v>53</v>
      </c>
      <c r="C72" s="91" t="s">
        <v>250</v>
      </c>
      <c r="D72" s="88">
        <v>500</v>
      </c>
      <c r="E72" s="90">
        <v>1</v>
      </c>
      <c r="F72" s="90">
        <v>300</v>
      </c>
      <c r="G72" s="90">
        <v>925</v>
      </c>
      <c r="H72" s="95">
        <v>925</v>
      </c>
      <c r="I72" s="90">
        <v>1225.0899999999999</v>
      </c>
      <c r="J72" s="90">
        <v>1225.0899999999999</v>
      </c>
      <c r="K72" s="90">
        <f>I72-J72</f>
        <v>0</v>
      </c>
      <c r="L72" s="90">
        <v>1225</v>
      </c>
      <c r="M72" s="90">
        <f t="shared" ref="M72:M83" si="9">J72-L72</f>
        <v>8.9999999999918145E-2</v>
      </c>
      <c r="N72" s="90"/>
      <c r="O72" s="90" t="s">
        <v>444</v>
      </c>
      <c r="P72" s="90" t="s">
        <v>444</v>
      </c>
      <c r="Q72" s="178"/>
      <c r="R72" s="90"/>
      <c r="S72" s="90"/>
      <c r="T72" s="216"/>
      <c r="U72" s="90"/>
    </row>
    <row r="73" spans="1:21" outlineLevel="1" x14ac:dyDescent="0.2">
      <c r="A73" s="76"/>
      <c r="B73">
        <v>54</v>
      </c>
      <c r="C73" s="91" t="s">
        <v>436</v>
      </c>
      <c r="D73" s="88"/>
      <c r="E73" s="90"/>
      <c r="F73" s="90"/>
      <c r="G73" s="90"/>
      <c r="H73" s="11">
        <v>0</v>
      </c>
      <c r="I73" s="90">
        <v>0</v>
      </c>
      <c r="J73" s="90"/>
      <c r="K73" s="90">
        <f>I73-J73</f>
        <v>0</v>
      </c>
      <c r="L73" s="90">
        <v>0</v>
      </c>
      <c r="M73" s="90">
        <f t="shared" si="9"/>
        <v>0</v>
      </c>
      <c r="N73" s="90"/>
      <c r="O73" s="90" t="s">
        <v>444</v>
      </c>
      <c r="P73" s="90" t="s">
        <v>444</v>
      </c>
      <c r="Q73" s="178"/>
      <c r="R73" s="90"/>
      <c r="S73" s="90"/>
      <c r="T73" s="216"/>
      <c r="U73" s="90"/>
    </row>
    <row r="74" spans="1:21" outlineLevel="1" x14ac:dyDescent="0.2">
      <c r="A74" s="76"/>
      <c r="B74">
        <v>55</v>
      </c>
      <c r="C74" s="91" t="s">
        <v>251</v>
      </c>
      <c r="D74" s="88"/>
      <c r="E74" s="90"/>
      <c r="F74" s="90"/>
      <c r="G74" s="90">
        <v>320</v>
      </c>
      <c r="H74" s="11">
        <v>320</v>
      </c>
      <c r="I74" s="90">
        <v>320.23</v>
      </c>
      <c r="J74" s="90">
        <v>320.23</v>
      </c>
      <c r="K74" s="90">
        <f>I74-J74</f>
        <v>0</v>
      </c>
      <c r="L74" s="90">
        <v>320</v>
      </c>
      <c r="M74" s="90">
        <f t="shared" si="9"/>
        <v>0.23000000000001819</v>
      </c>
      <c r="N74" s="90"/>
      <c r="O74" s="90" t="s">
        <v>444</v>
      </c>
      <c r="P74" s="90" t="s">
        <v>444</v>
      </c>
      <c r="Q74" s="178"/>
      <c r="R74" s="90"/>
      <c r="S74" s="90"/>
      <c r="T74" s="216"/>
      <c r="U74" s="90"/>
    </row>
    <row r="75" spans="1:21" x14ac:dyDescent="0.2">
      <c r="A75" s="76">
        <v>4</v>
      </c>
      <c r="C75" s="172" t="s">
        <v>77</v>
      </c>
      <c r="D75" s="173"/>
      <c r="E75" s="187"/>
      <c r="F75" s="175">
        <f>SUM(F76:F76)</f>
        <v>0</v>
      </c>
      <c r="G75" s="175"/>
      <c r="H75" s="175">
        <f>SUM(H76:H78)</f>
        <v>8798.4700000000012</v>
      </c>
      <c r="I75" s="175">
        <f t="shared" si="8"/>
        <v>8798.4700000000012</v>
      </c>
      <c r="J75" s="175">
        <f>SUM(J76:J78)</f>
        <v>8476.3100000000013</v>
      </c>
      <c r="K75" s="175">
        <f>SUM(K76:K77)</f>
        <v>547.09999999999991</v>
      </c>
      <c r="L75" s="175">
        <v>0</v>
      </c>
      <c r="M75" s="175">
        <v>5710</v>
      </c>
      <c r="N75" s="175">
        <f>J75-L75-M75</f>
        <v>2766.3100000000013</v>
      </c>
      <c r="O75" s="175">
        <v>8945</v>
      </c>
      <c r="P75" s="175">
        <f>O75-I75</f>
        <v>146.52999999999884</v>
      </c>
      <c r="Q75" s="177">
        <f>R75/O75</f>
        <v>0.94410285075461153</v>
      </c>
      <c r="R75" s="175">
        <f>U75+T75+S75</f>
        <v>8445</v>
      </c>
      <c r="S75" s="175">
        <v>2807</v>
      </c>
      <c r="T75" s="215">
        <v>5138</v>
      </c>
      <c r="U75" s="175">
        <v>500</v>
      </c>
    </row>
    <row r="76" spans="1:21" outlineLevel="1" x14ac:dyDescent="0.2">
      <c r="A76" s="76">
        <v>4</v>
      </c>
      <c r="B76">
        <v>56</v>
      </c>
      <c r="C76" s="91" t="s">
        <v>273</v>
      </c>
      <c r="D76" s="88"/>
      <c r="E76" s="181"/>
      <c r="F76" s="90"/>
      <c r="G76" s="90"/>
      <c r="H76" s="11">
        <v>1962</v>
      </c>
      <c r="I76" s="90">
        <f t="shared" si="8"/>
        <v>1962</v>
      </c>
      <c r="J76" s="90">
        <v>1414.9</v>
      </c>
      <c r="K76" s="90">
        <f>I76-J76</f>
        <v>547.09999999999991</v>
      </c>
      <c r="L76" s="90">
        <v>0</v>
      </c>
      <c r="M76" s="90">
        <v>391</v>
      </c>
      <c r="N76" s="90">
        <f>J76-L76-M76</f>
        <v>1023.9000000000001</v>
      </c>
      <c r="O76" s="90" t="s">
        <v>444</v>
      </c>
      <c r="P76" s="90" t="s">
        <v>444</v>
      </c>
      <c r="Q76" s="178"/>
      <c r="R76" s="90"/>
      <c r="S76" s="90"/>
      <c r="T76" s="216"/>
      <c r="U76" s="90"/>
    </row>
    <row r="77" spans="1:21" outlineLevel="1" x14ac:dyDescent="0.2">
      <c r="A77" s="76">
        <v>4</v>
      </c>
      <c r="B77">
        <v>57</v>
      </c>
      <c r="C77" s="91" t="s">
        <v>439</v>
      </c>
      <c r="D77" s="88"/>
      <c r="E77" s="181"/>
      <c r="F77" s="90"/>
      <c r="G77" s="90"/>
      <c r="H77" s="183">
        <v>4836.47</v>
      </c>
      <c r="I77" s="90">
        <f>F77+H77</f>
        <v>4836.47</v>
      </c>
      <c r="J77" s="90">
        <v>4836.47</v>
      </c>
      <c r="K77" s="90">
        <f>I77-J77</f>
        <v>0</v>
      </c>
      <c r="L77" s="90">
        <v>0</v>
      </c>
      <c r="M77" s="90">
        <f t="shared" si="9"/>
        <v>4836.47</v>
      </c>
      <c r="N77" s="90"/>
      <c r="O77" s="90" t="s">
        <v>444</v>
      </c>
      <c r="P77" s="90" t="s">
        <v>444</v>
      </c>
      <c r="Q77" s="178"/>
      <c r="R77" s="90"/>
      <c r="S77" s="90"/>
      <c r="T77" s="216"/>
      <c r="U77" s="90"/>
    </row>
    <row r="78" spans="1:21" outlineLevel="1" x14ac:dyDescent="0.2">
      <c r="A78" s="76">
        <v>4</v>
      </c>
      <c r="B78">
        <v>57.1</v>
      </c>
      <c r="C78" s="91" t="s">
        <v>437</v>
      </c>
      <c r="D78" s="88"/>
      <c r="E78" s="181"/>
      <c r="F78" s="90"/>
      <c r="G78" s="90"/>
      <c r="H78" s="11">
        <v>2000</v>
      </c>
      <c r="I78" s="90">
        <f>H78</f>
        <v>2000</v>
      </c>
      <c r="J78" s="90">
        <v>2224.94</v>
      </c>
      <c r="K78" s="90">
        <f>I78-J78</f>
        <v>-224.94000000000005</v>
      </c>
      <c r="L78" s="90">
        <v>0</v>
      </c>
      <c r="M78" s="90">
        <v>482</v>
      </c>
      <c r="N78" s="90">
        <f>J78-L78-M78</f>
        <v>1742.94</v>
      </c>
      <c r="O78" s="90" t="s">
        <v>444</v>
      </c>
      <c r="P78" s="90" t="s">
        <v>444</v>
      </c>
      <c r="Q78" s="178"/>
      <c r="R78" s="90"/>
      <c r="S78" s="90"/>
      <c r="T78" s="216"/>
      <c r="U78" s="90"/>
    </row>
    <row r="79" spans="1:21" ht="15" x14ac:dyDescent="0.25">
      <c r="A79" s="76">
        <v>35</v>
      </c>
      <c r="B79" t="s">
        <v>481</v>
      </c>
      <c r="C79" s="172" t="s">
        <v>480</v>
      </c>
      <c r="D79" s="173"/>
      <c r="E79" s="187"/>
      <c r="F79" s="175"/>
      <c r="G79" s="175"/>
      <c r="H79" s="201"/>
      <c r="I79" s="175">
        <v>350</v>
      </c>
      <c r="J79" s="175">
        <v>350</v>
      </c>
      <c r="K79" s="175">
        <v>0</v>
      </c>
      <c r="L79" s="175">
        <v>0</v>
      </c>
      <c r="M79" s="175">
        <v>350</v>
      </c>
      <c r="N79" s="175"/>
      <c r="O79" s="175">
        <f>4460</f>
        <v>4460</v>
      </c>
      <c r="P79" s="175">
        <f>O79-I79</f>
        <v>4110</v>
      </c>
      <c r="Q79" s="177">
        <f>R79/O79</f>
        <v>0.99995067264574</v>
      </c>
      <c r="R79" s="175">
        <f>S79+T79</f>
        <v>4459.7800000000007</v>
      </c>
      <c r="S79" s="175">
        <v>2093</v>
      </c>
      <c r="T79" s="215">
        <v>2366.7800000000002</v>
      </c>
      <c r="U79" s="175"/>
    </row>
    <row r="80" spans="1:21" x14ac:dyDescent="0.2">
      <c r="D80" s="37"/>
      <c r="E80" s="41"/>
      <c r="F80" s="41"/>
      <c r="G80" s="41"/>
      <c r="I80" s="41"/>
      <c r="J80" s="98"/>
      <c r="K80" s="98"/>
      <c r="L80" s="98">
        <v>0</v>
      </c>
      <c r="M80" s="98">
        <f t="shared" si="9"/>
        <v>0</v>
      </c>
      <c r="N80" s="98"/>
      <c r="O80" s="98"/>
      <c r="P80" s="98"/>
      <c r="Q80" s="170"/>
      <c r="R80" s="98"/>
      <c r="S80" s="98"/>
      <c r="T80" s="98"/>
      <c r="U80" s="98"/>
    </row>
    <row r="81" spans="2:21" x14ac:dyDescent="0.2">
      <c r="C81" s="94" t="s">
        <v>7</v>
      </c>
      <c r="D81" s="88"/>
      <c r="E81" s="181"/>
      <c r="F81" s="205">
        <f>F79+F75+F70+F67+F64+F62+F56+F45+F43+F40+F36+F33+F30+F27+F24+F10+F17+F8+F6+F3</f>
        <v>19295.875</v>
      </c>
      <c r="G81" s="90"/>
      <c r="H81" s="205">
        <f>H79+H75+H70+H67+H64+H62+H56+H45+H43+H40+H36+H33+H30+H27+H24+H10+H17+H8+H6+H3</f>
        <v>88084.541111111117</v>
      </c>
      <c r="I81" s="205">
        <f>I79+I75+I70+I67+I64+I62+I56+I45+I43+I40+I36+I33+I30+I27+I24+I10+I17+I8+I6+I3</f>
        <v>111084.41611111112</v>
      </c>
      <c r="J81" s="205">
        <f>J79+J75+J70+J67+J64+J62+J56+J45+J43+J40+J36+J33+J30+J27+J24+J10+J17+J8+J6+J3</f>
        <v>69627.359999999986</v>
      </c>
      <c r="K81" s="205">
        <f>K79+K75+K70+K67+K64+K62+K56+K45+K43+K40+K36+K33+K30+K27+K24+K10+K17+K8+K6+K3</f>
        <v>39864.206111111103</v>
      </c>
      <c r="L81" s="205">
        <f>L79+L75+L70+L67+L64+L62+L56+L45+L43+L40+L36+L33+L30+L27+L24+L10+L17+L8+L6+L3</f>
        <v>27792</v>
      </c>
      <c r="M81" s="205">
        <f t="shared" si="9"/>
        <v>41835.359999999986</v>
      </c>
      <c r="N81" s="205">
        <f>N75+N69+N64+N56++N62+N45+N43+N40+N36++N33+N27+N27+N27+N26+N25+N10+N8+N79</f>
        <v>14299.510000000002</v>
      </c>
      <c r="O81" s="205">
        <f>O75+O69+O64+O56++O62+O45+O43+O40+O36++O33+O27+O27+O27+O26+O25+O10+O8+O79</f>
        <v>93819</v>
      </c>
      <c r="P81" s="206">
        <f>O81-I81</f>
        <v>-17265.416111111117</v>
      </c>
      <c r="Q81" s="207"/>
      <c r="R81" s="205">
        <f>R79+R75+R70+R67+R64+R62+R56+R45+R43+R40+R36+R33+R30+R27+R24+R10+R17+R8+R6+R3</f>
        <v>66058.73</v>
      </c>
      <c r="S81" s="205">
        <f>S79+S75+S70+S67+S64+S62+S56+S45+S43+S40+S36+S33+S30+S27+S24+S10+S17+S8+S6+S3</f>
        <v>30888</v>
      </c>
      <c r="T81" s="205">
        <f>T79+T75+T70+T67+T64+T62+T56+T45+T43+T40+T36+T10+T8</f>
        <v>20807.730000000003</v>
      </c>
      <c r="U81" s="205">
        <f>U10+U24+U30+U40+U43+U45+U56+U62+U64+U75</f>
        <v>14363</v>
      </c>
    </row>
    <row r="82" spans="2:21" x14ac:dyDescent="0.2">
      <c r="B82">
        <v>59</v>
      </c>
      <c r="C82" s="87" t="s">
        <v>331</v>
      </c>
      <c r="D82" s="88"/>
      <c r="E82" s="90"/>
      <c r="F82" s="90"/>
      <c r="G82" s="90"/>
      <c r="H82" s="11">
        <v>150</v>
      </c>
      <c r="I82" s="165">
        <f>H82*G82</f>
        <v>0</v>
      </c>
      <c r="J82" s="90"/>
      <c r="K82" s="165">
        <f>I82-J82</f>
        <v>0</v>
      </c>
      <c r="L82" s="90"/>
      <c r="M82" s="90">
        <f t="shared" si="9"/>
        <v>0</v>
      </c>
      <c r="N82" s="90"/>
      <c r="O82" s="165">
        <v>750</v>
      </c>
      <c r="P82" s="90">
        <f>O82-K82</f>
        <v>750</v>
      </c>
      <c r="Q82" s="178"/>
      <c r="R82" s="90"/>
      <c r="S82" s="90"/>
      <c r="T82" s="90"/>
      <c r="U82" s="213"/>
    </row>
    <row r="83" spans="2:21" x14ac:dyDescent="0.2">
      <c r="B83">
        <v>60</v>
      </c>
      <c r="C83" s="91" t="s">
        <v>476</v>
      </c>
      <c r="D83" s="11"/>
      <c r="E83" s="183"/>
      <c r="F83" s="97"/>
      <c r="G83" s="97"/>
      <c r="H83" s="11"/>
      <c r="I83" s="202">
        <v>1949</v>
      </c>
      <c r="J83" s="183"/>
      <c r="K83" s="165">
        <f>I83-J83</f>
        <v>1949</v>
      </c>
      <c r="L83" s="90"/>
      <c r="M83" s="90">
        <f t="shared" si="9"/>
        <v>0</v>
      </c>
      <c r="N83" s="90"/>
      <c r="O83" s="165">
        <v>9436.68</v>
      </c>
      <c r="P83" s="188">
        <f>O83-I83</f>
        <v>7487.68</v>
      </c>
      <c r="Q83" s="178"/>
      <c r="R83" s="90">
        <f>T83+S83</f>
        <v>9436</v>
      </c>
      <c r="S83" s="90">
        <v>2878</v>
      </c>
      <c r="T83" s="90">
        <v>6558</v>
      </c>
      <c r="U83" s="213"/>
    </row>
    <row r="84" spans="2:21" ht="15" x14ac:dyDescent="0.25">
      <c r="C84" s="46" t="s">
        <v>372</v>
      </c>
      <c r="D84" s="11"/>
      <c r="E84" s="183"/>
      <c r="F84" s="97"/>
      <c r="G84" s="97"/>
      <c r="H84" s="11"/>
      <c r="I84" s="208">
        <f>I81+83+I82</f>
        <v>111167.41611111112</v>
      </c>
      <c r="J84" s="208">
        <f>J81</f>
        <v>69627.359999999986</v>
      </c>
      <c r="K84" s="208">
        <f>K81+K83+K82</f>
        <v>41813.206111111103</v>
      </c>
      <c r="L84" s="208">
        <f>L81+L83+L82</f>
        <v>27792</v>
      </c>
      <c r="M84" s="208">
        <f>M81+M83+M82</f>
        <v>41835.359999999986</v>
      </c>
      <c r="N84" s="208"/>
      <c r="O84" s="208">
        <f>O81+O82+O83</f>
        <v>104005.68</v>
      </c>
      <c r="P84" s="209">
        <f>O84-I84</f>
        <v>-7161.736111111124</v>
      </c>
      <c r="Q84" s="210"/>
      <c r="R84" s="208">
        <f>R81+R83</f>
        <v>75494.73</v>
      </c>
      <c r="S84" s="208">
        <f>S81+S83</f>
        <v>33766</v>
      </c>
      <c r="T84" s="208">
        <f>T81+T83</f>
        <v>27365.730000000003</v>
      </c>
      <c r="U84" s="214">
        <f>U81</f>
        <v>14363</v>
      </c>
    </row>
    <row r="85" spans="2:21" x14ac:dyDescent="0.2">
      <c r="C85" s="43"/>
      <c r="E85" s="38"/>
      <c r="F85" s="142" t="s">
        <v>405</v>
      </c>
      <c r="I85" s="2">
        <v>105000</v>
      </c>
      <c r="K85" s="38"/>
      <c r="L85" s="38"/>
      <c r="M85" s="38"/>
      <c r="N85" s="38"/>
      <c r="O85" s="38"/>
      <c r="P85" s="38"/>
      <c r="Q85" s="211" t="s">
        <v>464</v>
      </c>
      <c r="R85" s="183">
        <f>R84*0.1</f>
        <v>7549.473</v>
      </c>
      <c r="S85" s="183">
        <f>S84*0.1</f>
        <v>3376.6000000000004</v>
      </c>
      <c r="T85" s="183">
        <f>T84*0.1</f>
        <v>2736.5730000000003</v>
      </c>
      <c r="U85" s="183">
        <f>U84*0.1</f>
        <v>1436.3000000000002</v>
      </c>
    </row>
    <row r="86" spans="2:21" ht="25.5" x14ac:dyDescent="0.2">
      <c r="C86" s="42" t="s">
        <v>472</v>
      </c>
      <c r="E86" s="38"/>
      <c r="F86" s="142" t="s">
        <v>433</v>
      </c>
      <c r="G86" s="39"/>
      <c r="I86" s="38">
        <f>I84-I85-I83</f>
        <v>4218.4161111111171</v>
      </c>
      <c r="J86" s="38"/>
      <c r="Q86" s="212" t="s">
        <v>465</v>
      </c>
      <c r="R86" s="183">
        <f>R84-R85</f>
        <v>67945.256999999998</v>
      </c>
      <c r="S86" s="183">
        <f>S84-S85</f>
        <v>30389.4</v>
      </c>
      <c r="T86" s="202">
        <f>T84-T85</f>
        <v>24629.157000000003</v>
      </c>
      <c r="U86" s="202">
        <f>U84-U85</f>
        <v>12926.7</v>
      </c>
    </row>
    <row r="87" spans="2:21" x14ac:dyDescent="0.2">
      <c r="C87" s="43"/>
      <c r="E87" s="38"/>
      <c r="F87" s="142"/>
      <c r="G87" s="39"/>
      <c r="I87" s="38"/>
      <c r="Q87" s="167" t="s">
        <v>479</v>
      </c>
      <c r="R87" s="38">
        <f>104703-R84</f>
        <v>29208.270000000004</v>
      </c>
    </row>
    <row r="88" spans="2:21" ht="43.5" customHeight="1" x14ac:dyDescent="0.2">
      <c r="C88" s="44"/>
      <c r="D88" s="220"/>
      <c r="E88" s="221"/>
      <c r="F88" s="222"/>
      <c r="G88" s="221"/>
      <c r="H88" s="221"/>
      <c r="I88" s="222"/>
      <c r="J88" s="218" t="s">
        <v>478</v>
      </c>
      <c r="P88" s="98"/>
      <c r="Q88" s="170"/>
      <c r="R88" s="98"/>
      <c r="S88" s="98"/>
      <c r="T88" s="98"/>
      <c r="U88" s="98"/>
    </row>
    <row r="89" spans="2:21" x14ac:dyDescent="0.2">
      <c r="C89" s="44"/>
      <c r="D89" s="223"/>
      <c r="E89" s="213"/>
      <c r="F89" s="213"/>
      <c r="G89" s="224"/>
      <c r="H89" s="30"/>
      <c r="I89" s="213"/>
      <c r="J89" s="219"/>
      <c r="P89" s="98"/>
      <c r="Q89" s="170"/>
      <c r="R89" s="98"/>
      <c r="S89" s="98"/>
      <c r="T89" s="98"/>
      <c r="U89" s="98"/>
    </row>
    <row r="90" spans="2:21" x14ac:dyDescent="0.2">
      <c r="C90" s="44"/>
      <c r="D90" s="223"/>
      <c r="E90" s="213"/>
      <c r="F90" s="213"/>
      <c r="G90" s="224"/>
      <c r="H90" s="30"/>
      <c r="I90" s="213"/>
      <c r="J90" s="219"/>
      <c r="P90" s="98"/>
      <c r="Q90" s="170"/>
      <c r="R90" s="98"/>
      <c r="S90" s="98"/>
      <c r="T90" s="98"/>
      <c r="U90" s="98"/>
    </row>
    <row r="91" spans="2:21" x14ac:dyDescent="0.2">
      <c r="D91" s="225"/>
      <c r="E91" s="30"/>
      <c r="F91" s="224"/>
      <c r="G91" s="224"/>
      <c r="H91" s="30"/>
      <c r="I91" s="30"/>
      <c r="J91" s="219">
        <v>2906</v>
      </c>
    </row>
    <row r="92" spans="2:21" x14ac:dyDescent="0.2">
      <c r="D92" s="93"/>
      <c r="E92" s="226"/>
      <c r="F92" s="226"/>
      <c r="G92" s="226"/>
      <c r="H92" s="227"/>
      <c r="I92" s="228"/>
    </row>
    <row r="93" spans="2:21" x14ac:dyDescent="0.2">
      <c r="C93" s="4"/>
      <c r="D93" s="63"/>
      <c r="E93" s="30"/>
      <c r="F93" s="30"/>
      <c r="G93" s="30"/>
      <c r="H93" s="30"/>
      <c r="I93" s="30"/>
      <c r="J93" s="219"/>
    </row>
    <row r="94" spans="2:21" x14ac:dyDescent="0.2">
      <c r="D94" s="63"/>
      <c r="E94" s="229"/>
      <c r="F94" s="229"/>
      <c r="G94" s="224"/>
      <c r="H94" s="228"/>
      <c r="I94" s="228"/>
      <c r="J94" s="219">
        <v>15382.67</v>
      </c>
    </row>
    <row r="95" spans="2:21" x14ac:dyDescent="0.2">
      <c r="D95" s="25"/>
      <c r="E95" s="226"/>
      <c r="F95" s="226"/>
      <c r="G95" s="226"/>
      <c r="H95" s="226"/>
      <c r="I95" s="30"/>
      <c r="J95" s="219">
        <f>SUM(J91:J94)</f>
        <v>18288.669999999998</v>
      </c>
    </row>
    <row r="96" spans="2:21" x14ac:dyDescent="0.2">
      <c r="D96" s="26"/>
      <c r="E96" s="30"/>
      <c r="F96" s="30"/>
      <c r="G96" s="30"/>
      <c r="H96" s="30"/>
      <c r="I96" s="30"/>
      <c r="J96" s="219">
        <v>3438</v>
      </c>
    </row>
    <row r="97" spans="4:10" x14ac:dyDescent="0.2">
      <c r="D97" s="72"/>
      <c r="E97" s="30"/>
      <c r="F97" s="30"/>
      <c r="G97" s="30"/>
      <c r="H97" s="30"/>
      <c r="I97" s="30"/>
      <c r="J97" s="219">
        <f>J95-J96</f>
        <v>14850.669999999998</v>
      </c>
    </row>
    <row r="98" spans="4:10" x14ac:dyDescent="0.2">
      <c r="D98" s="25"/>
      <c r="E98" s="30"/>
      <c r="F98" s="30"/>
      <c r="G98" s="30"/>
      <c r="H98" s="30"/>
      <c r="I98" s="30"/>
    </row>
    <row r="99" spans="4:10" x14ac:dyDescent="0.2">
      <c r="D99" s="25"/>
      <c r="E99" s="230"/>
      <c r="F99" s="230"/>
      <c r="G99" s="25"/>
      <c r="H99" s="30"/>
      <c r="I99" s="30"/>
    </row>
    <row r="100" spans="4:10" x14ac:dyDescent="0.2">
      <c r="D100" s="63"/>
      <c r="E100" s="30"/>
      <c r="F100" s="30"/>
      <c r="G100" s="30"/>
      <c r="H100" s="30"/>
      <c r="I100" s="30"/>
    </row>
    <row r="101" spans="4:10" x14ac:dyDescent="0.2">
      <c r="D101" s="63"/>
      <c r="E101" s="30"/>
      <c r="F101" s="30"/>
      <c r="G101" s="30"/>
      <c r="H101" s="30"/>
      <c r="I101" s="30"/>
    </row>
    <row r="102" spans="4:10" x14ac:dyDescent="0.2">
      <c r="D102" s="63"/>
      <c r="E102" s="30"/>
      <c r="F102" s="30"/>
      <c r="G102" s="30"/>
      <c r="H102" s="30"/>
      <c r="I102" s="30"/>
      <c r="J102" s="4"/>
    </row>
    <row r="103" spans="4:10" x14ac:dyDescent="0.2">
      <c r="D103" s="63"/>
      <c r="E103" s="30"/>
      <c r="F103" s="30"/>
      <c r="G103" s="30"/>
      <c r="H103" s="30"/>
      <c r="I103" s="30"/>
      <c r="J103" s="15"/>
    </row>
    <row r="104" spans="4:10" x14ac:dyDescent="0.2">
      <c r="D104" s="63"/>
      <c r="E104" s="30"/>
      <c r="F104" s="30"/>
      <c r="G104" s="30"/>
      <c r="H104" s="30"/>
      <c r="I104" s="30"/>
    </row>
    <row r="105" spans="4:10" x14ac:dyDescent="0.2">
      <c r="D105" s="63"/>
      <c r="E105" s="30"/>
      <c r="F105" s="30"/>
      <c r="G105" s="30"/>
      <c r="H105" s="25"/>
      <c r="I105" s="25"/>
      <c r="J105" s="142"/>
    </row>
    <row r="106" spans="4:10" x14ac:dyDescent="0.2">
      <c r="D106" s="25"/>
      <c r="E106" s="25"/>
      <c r="F106" s="25"/>
      <c r="G106" s="25"/>
      <c r="H106" s="30"/>
      <c r="I106" s="30"/>
    </row>
    <row r="107" spans="4:10" x14ac:dyDescent="0.2">
      <c r="D107" s="30"/>
      <c r="E107" s="30"/>
      <c r="F107" s="30"/>
      <c r="G107" s="30"/>
      <c r="H107" s="30"/>
      <c r="I107" s="30"/>
    </row>
    <row r="108" spans="4:10" x14ac:dyDescent="0.2">
      <c r="D108" s="25"/>
      <c r="E108" s="230"/>
      <c r="F108" s="230"/>
      <c r="G108" s="25"/>
      <c r="H108" s="231"/>
      <c r="I108" s="231"/>
    </row>
    <row r="109" spans="4:10" x14ac:dyDescent="0.2">
      <c r="D109" s="63"/>
      <c r="E109" s="226"/>
      <c r="F109" s="227"/>
      <c r="G109" s="227"/>
      <c r="H109" s="25"/>
      <c r="I109" s="227"/>
    </row>
    <row r="110" spans="4:10" x14ac:dyDescent="0.2">
      <c r="D110" s="30"/>
      <c r="E110" s="232"/>
      <c r="F110" s="30"/>
      <c r="G110" s="30"/>
      <c r="H110" s="30"/>
      <c r="I110" s="30"/>
    </row>
    <row r="111" spans="4:10" x14ac:dyDescent="0.2">
      <c r="D111" s="30"/>
      <c r="E111" s="30"/>
      <c r="F111" s="30"/>
      <c r="G111" s="30"/>
      <c r="H111" s="30"/>
      <c r="I111" s="30"/>
    </row>
    <row r="112" spans="4:10" x14ac:dyDescent="0.2">
      <c r="D112" s="30"/>
      <c r="E112" s="30"/>
      <c r="F112" s="30"/>
      <c r="G112" s="30"/>
      <c r="H112" s="30"/>
      <c r="I112" s="30"/>
    </row>
    <row r="113" spans="4:9" x14ac:dyDescent="0.2">
      <c r="D113" s="30"/>
      <c r="E113" s="30"/>
      <c r="F113" s="30"/>
      <c r="G113" s="30"/>
      <c r="H113" s="30"/>
      <c r="I113" s="30"/>
    </row>
    <row r="114" spans="4:9" x14ac:dyDescent="0.2">
      <c r="D114" s="30"/>
      <c r="E114" s="63"/>
      <c r="F114" s="63"/>
      <c r="G114" s="63"/>
      <c r="H114" s="30"/>
      <c r="I114" s="30"/>
    </row>
    <row r="115" spans="4:9" x14ac:dyDescent="0.2">
      <c r="D115" s="63"/>
      <c r="E115" s="30"/>
      <c r="F115" s="30"/>
      <c r="G115" s="30"/>
      <c r="H115" s="30"/>
      <c r="I115" s="30"/>
    </row>
    <row r="116" spans="4:9" x14ac:dyDescent="0.2">
      <c r="D116" s="63"/>
      <c r="E116" s="30"/>
      <c r="F116" s="30"/>
      <c r="G116" s="30"/>
      <c r="H116" s="30"/>
      <c r="I116" s="30"/>
    </row>
    <row r="117" spans="4:9" x14ac:dyDescent="0.2">
      <c r="D117" s="63"/>
      <c r="E117" s="30"/>
      <c r="F117" s="30"/>
      <c r="G117" s="30"/>
      <c r="H117" s="30"/>
      <c r="I117" s="30"/>
    </row>
    <row r="118" spans="4:9" x14ac:dyDescent="0.2">
      <c r="D118" s="63"/>
      <c r="E118" s="30"/>
      <c r="F118" s="30"/>
      <c r="G118" s="30"/>
      <c r="H118" s="30"/>
      <c r="I118" s="30"/>
    </row>
    <row r="119" spans="4:9" x14ac:dyDescent="0.2">
      <c r="D119" s="63"/>
      <c r="E119" s="30"/>
      <c r="F119" s="30"/>
      <c r="G119" s="30"/>
      <c r="H119" s="30"/>
      <c r="I119" s="30"/>
    </row>
    <row r="120" spans="4:9" x14ac:dyDescent="0.2">
      <c r="D120" s="63"/>
      <c r="E120" s="25"/>
      <c r="F120" s="25"/>
      <c r="G120" s="228"/>
      <c r="H120" s="228"/>
      <c r="I120" s="30"/>
    </row>
    <row r="121" spans="4:9" x14ac:dyDescent="0.2">
      <c r="D121" s="63"/>
      <c r="E121" s="228"/>
      <c r="F121" s="30"/>
      <c r="G121" s="30"/>
      <c r="H121" s="30"/>
      <c r="I121" s="30"/>
    </row>
    <row r="122" spans="4:9" x14ac:dyDescent="0.2">
      <c r="D122" s="63"/>
      <c r="E122" s="228"/>
      <c r="F122" s="228"/>
      <c r="G122" s="228"/>
      <c r="H122" s="30"/>
      <c r="I122" s="30"/>
    </row>
    <row r="123" spans="4:9" x14ac:dyDescent="0.2">
      <c r="D123" s="63"/>
      <c r="E123" s="30"/>
      <c r="F123" s="30"/>
      <c r="G123" s="30"/>
      <c r="H123" s="30"/>
      <c r="I123" s="30"/>
    </row>
    <row r="124" spans="4:9" x14ac:dyDescent="0.2">
      <c r="D124" s="63"/>
      <c r="E124" s="228"/>
      <c r="F124" s="228"/>
      <c r="G124" s="30"/>
      <c r="H124" s="228"/>
      <c r="I124" s="30"/>
    </row>
    <row r="125" spans="4:9" x14ac:dyDescent="0.2">
      <c r="D125" s="63"/>
      <c r="E125" s="30"/>
      <c r="F125" s="30"/>
      <c r="G125" s="30"/>
      <c r="H125" s="30"/>
      <c r="I125" s="30"/>
    </row>
    <row r="126" spans="4:9" x14ac:dyDescent="0.2">
      <c r="D126" s="63"/>
      <c r="E126" s="228"/>
      <c r="F126" s="228"/>
      <c r="G126" s="228"/>
      <c r="H126" s="30"/>
      <c r="I126" s="30"/>
    </row>
    <row r="127" spans="4:9" x14ac:dyDescent="0.2">
      <c r="D127" s="30"/>
      <c r="E127" s="30"/>
      <c r="F127" s="30"/>
      <c r="G127" s="30"/>
      <c r="H127" s="30"/>
      <c r="I127" s="30"/>
    </row>
    <row r="129" spans="5:5" x14ac:dyDescent="0.2">
      <c r="E129" s="4"/>
    </row>
  </sheetData>
  <pageMargins left="0.7" right="0.7" top="0.75" bottom="0.75" header="0.3" footer="0.3"/>
  <pageSetup paperSize="3" scale="58" orientation="landscape" r:id="rId1"/>
  <colBreaks count="1" manualBreakCount="1">
    <brk id="2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U121"/>
  <sheetViews>
    <sheetView zoomScaleNormal="100" workbookViewId="0">
      <pane ySplit="2" topLeftCell="A3" activePane="bottomLeft" state="frozen"/>
      <selection pane="bottomLeft" activeCell="B1" sqref="B1:B1048576"/>
    </sheetView>
  </sheetViews>
  <sheetFormatPr defaultRowHeight="12.75" outlineLevelRow="2" outlineLevelCol="1" x14ac:dyDescent="0.2"/>
  <cols>
    <col min="1" max="1" width="33.85546875" style="24" customWidth="1"/>
    <col min="2" max="2" width="9.42578125" style="24" customWidth="1"/>
    <col min="3" max="3" width="10.42578125" style="24" customWidth="1"/>
    <col min="4" max="4" width="3.140625" style="24" customWidth="1"/>
    <col min="5" max="5" width="2.7109375" customWidth="1"/>
    <col min="6" max="11" width="2.7109375" hidden="1" customWidth="1" outlineLevel="1"/>
    <col min="12" max="12" width="2.7109375" customWidth="1" collapsed="1"/>
    <col min="13" max="18" width="2.7109375" hidden="1" customWidth="1" outlineLevel="1"/>
    <col min="19" max="19" width="2.7109375" customWidth="1" collapsed="1"/>
    <col min="20" max="25" width="2.7109375" hidden="1" customWidth="1" outlineLevel="1"/>
    <col min="26" max="26" width="2.7109375" customWidth="1" collapsed="1"/>
    <col min="27" max="32" width="2.7109375" hidden="1" customWidth="1" outlineLevel="1"/>
    <col min="33" max="33" width="2.7109375" customWidth="1" collapsed="1"/>
    <col min="34" max="39" width="2.7109375" hidden="1" customWidth="1" outlineLevel="1"/>
    <col min="40" max="40" width="2.7109375" customWidth="1" collapsed="1"/>
    <col min="41" max="46" width="2.7109375" hidden="1" customWidth="1" outlineLevel="1"/>
    <col min="47" max="47" width="2.7109375" customWidth="1" collapsed="1"/>
    <col min="48" max="53" width="2.7109375" hidden="1" customWidth="1" outlineLevel="1"/>
    <col min="54" max="54" width="2.7109375" customWidth="1" collapsed="1"/>
    <col min="55" max="60" width="2.7109375" hidden="1" customWidth="1" outlineLevel="1"/>
    <col min="61" max="61" width="2.7109375" customWidth="1" collapsed="1"/>
    <col min="62" max="67" width="2.7109375" hidden="1" customWidth="1" outlineLevel="1"/>
    <col min="68" max="68" width="2.7109375" customWidth="1" collapsed="1"/>
    <col min="69" max="74" width="2.7109375" hidden="1" customWidth="1" outlineLevel="1"/>
    <col min="75" max="75" width="2.7109375" customWidth="1" collapsed="1"/>
    <col min="76" max="81" width="2.7109375" hidden="1" customWidth="1" outlineLevel="1"/>
    <col min="82" max="82" width="2.7109375" customWidth="1" collapsed="1"/>
    <col min="83" max="88" width="2.7109375" hidden="1" customWidth="1" outlineLevel="1"/>
    <col min="89" max="89" width="2.7109375" customWidth="1" collapsed="1"/>
    <col min="90" max="95" width="2.7109375" hidden="1" customWidth="1" outlineLevel="1"/>
    <col min="96" max="96" width="2.7109375" customWidth="1" collapsed="1"/>
    <col min="97" max="102" width="2.7109375" hidden="1" customWidth="1" outlineLevel="1"/>
    <col min="103" max="103" width="2.7109375" customWidth="1" collapsed="1"/>
    <col min="104" max="109" width="2.7109375" hidden="1" customWidth="1" outlineLevel="1"/>
    <col min="110" max="110" width="2.7109375" customWidth="1" collapsed="1"/>
    <col min="111" max="116" width="2.7109375" hidden="1" customWidth="1" outlineLevel="1"/>
    <col min="117" max="117" width="2.7109375" customWidth="1" collapsed="1"/>
    <col min="118" max="123" width="2.7109375" hidden="1" customWidth="1" outlineLevel="1"/>
    <col min="124" max="124" width="2.7109375" customWidth="1" collapsed="1"/>
    <col min="125" max="130" width="2.7109375" hidden="1" customWidth="1" outlineLevel="1"/>
    <col min="131" max="131" width="2.7109375" customWidth="1" collapsed="1"/>
    <col min="132" max="137" width="2.7109375" hidden="1" customWidth="1" outlineLevel="1"/>
    <col min="138" max="138" width="2.7109375" customWidth="1" collapsed="1"/>
    <col min="139" max="144" width="2.7109375" hidden="1" customWidth="1" outlineLevel="1"/>
    <col min="145" max="145" width="2.7109375" customWidth="1" collapsed="1"/>
    <col min="146" max="151" width="2.7109375" hidden="1" customWidth="1" outlineLevel="1"/>
    <col min="152" max="152" width="2.7109375" customWidth="1" collapsed="1"/>
    <col min="153" max="158" width="2.7109375" hidden="1" customWidth="1" outlineLevel="1"/>
    <col min="159" max="159" width="2.7109375" customWidth="1" collapsed="1"/>
    <col min="160" max="165" width="2.7109375" hidden="1" customWidth="1" outlineLevel="1"/>
    <col min="166" max="166" width="2.7109375" customWidth="1" collapsed="1"/>
    <col min="167" max="172" width="2.7109375" hidden="1" customWidth="1" outlineLevel="1"/>
    <col min="173" max="173" width="2.7109375" customWidth="1" collapsed="1"/>
    <col min="174" max="179" width="2.7109375" hidden="1" customWidth="1" outlineLevel="1"/>
    <col min="180" max="180" width="2.7109375" customWidth="1" collapsed="1"/>
    <col min="181" max="186" width="2.7109375" hidden="1" customWidth="1" outlineLevel="1"/>
    <col min="187" max="187" width="2.7109375" customWidth="1" collapsed="1"/>
    <col min="188" max="193" width="2.7109375" hidden="1" customWidth="1" outlineLevel="1"/>
    <col min="194" max="194" width="2.7109375" customWidth="1" collapsed="1"/>
    <col min="195" max="200" width="2.7109375" hidden="1" customWidth="1" outlineLevel="1"/>
    <col min="201" max="201" width="2.7109375" customWidth="1" collapsed="1"/>
    <col min="202" max="207" width="2.7109375" hidden="1" customWidth="1" outlineLevel="1"/>
    <col min="208" max="208" width="2.7109375" customWidth="1" collapsed="1"/>
    <col min="209" max="214" width="2.7109375" hidden="1" customWidth="1" outlineLevel="1"/>
    <col min="215" max="215" width="2.7109375" customWidth="1" collapsed="1"/>
    <col min="216" max="221" width="2.7109375" hidden="1" customWidth="1" outlineLevel="1"/>
    <col min="222" max="222" width="2.7109375" customWidth="1" collapsed="1"/>
    <col min="223" max="229" width="2.7109375" customWidth="1"/>
  </cols>
  <sheetData>
    <row r="1" spans="1:229" ht="15" hidden="1" customHeight="1" outlineLevel="2" x14ac:dyDescent="0.2"/>
    <row r="2" spans="1:229" ht="75" customHeight="1" collapsed="1" x14ac:dyDescent="0.2">
      <c r="E2" s="238" t="s">
        <v>406</v>
      </c>
      <c r="F2" s="239"/>
      <c r="G2" s="239"/>
      <c r="H2" s="239"/>
      <c r="I2" s="239"/>
      <c r="J2" s="239"/>
      <c r="K2" s="239"/>
      <c r="L2" s="238" t="s">
        <v>379</v>
      </c>
      <c r="M2" s="239"/>
      <c r="N2" s="239"/>
      <c r="O2" s="239"/>
      <c r="P2" s="239"/>
      <c r="Q2" s="239"/>
      <c r="R2" s="239"/>
      <c r="S2" s="235" t="s">
        <v>380</v>
      </c>
      <c r="T2" s="236"/>
      <c r="U2" s="236"/>
      <c r="V2" s="236"/>
      <c r="W2" s="236"/>
      <c r="X2" s="236"/>
      <c r="Y2" s="237"/>
      <c r="Z2" s="235" t="s">
        <v>381</v>
      </c>
      <c r="AA2" s="236"/>
      <c r="AB2" s="236"/>
      <c r="AC2" s="236"/>
      <c r="AD2" s="236"/>
      <c r="AE2" s="236"/>
      <c r="AF2" s="237"/>
      <c r="AG2" s="235" t="s">
        <v>382</v>
      </c>
      <c r="AH2" s="236"/>
      <c r="AI2" s="236"/>
      <c r="AJ2" s="236"/>
      <c r="AK2" s="236"/>
      <c r="AL2" s="236"/>
      <c r="AM2" s="237"/>
      <c r="AN2" s="235" t="s">
        <v>383</v>
      </c>
      <c r="AO2" s="236"/>
      <c r="AP2" s="236"/>
      <c r="AQ2" s="236"/>
      <c r="AR2" s="236"/>
      <c r="AS2" s="236"/>
      <c r="AT2" s="237"/>
      <c r="AU2" s="235" t="s">
        <v>413</v>
      </c>
      <c r="AV2" s="236"/>
      <c r="AW2" s="236"/>
      <c r="AX2" s="236"/>
      <c r="AY2" s="236"/>
      <c r="AZ2" s="236"/>
      <c r="BA2" s="237"/>
      <c r="BB2" s="235" t="s">
        <v>384</v>
      </c>
      <c r="BC2" s="236"/>
      <c r="BD2" s="236"/>
      <c r="BE2" s="236"/>
      <c r="BF2" s="236"/>
      <c r="BG2" s="236"/>
      <c r="BH2" s="237"/>
      <c r="BI2" s="235" t="s">
        <v>385</v>
      </c>
      <c r="BJ2" s="236"/>
      <c r="BK2" s="236"/>
      <c r="BL2" s="236"/>
      <c r="BM2" s="236"/>
      <c r="BN2" s="236"/>
      <c r="BO2" s="237"/>
      <c r="BP2" s="235" t="s">
        <v>386</v>
      </c>
      <c r="BQ2" s="236"/>
      <c r="BR2" s="236"/>
      <c r="BS2" s="236"/>
      <c r="BT2" s="236"/>
      <c r="BU2" s="236"/>
      <c r="BV2" s="237"/>
      <c r="BW2" s="235" t="s">
        <v>387</v>
      </c>
      <c r="BX2" s="236"/>
      <c r="BY2" s="236"/>
      <c r="BZ2" s="236"/>
      <c r="CA2" s="236"/>
      <c r="CB2" s="236"/>
      <c r="CC2" s="237"/>
      <c r="CD2" s="235" t="s">
        <v>388</v>
      </c>
      <c r="CE2" s="236"/>
      <c r="CF2" s="236"/>
      <c r="CG2" s="236"/>
      <c r="CH2" s="236"/>
      <c r="CI2" s="236"/>
      <c r="CJ2" s="237"/>
      <c r="CK2" s="111" t="s">
        <v>389</v>
      </c>
      <c r="CL2" s="112"/>
      <c r="CM2" s="112"/>
      <c r="CN2" s="112"/>
      <c r="CO2" s="112"/>
      <c r="CP2" s="112"/>
      <c r="CQ2" s="113"/>
      <c r="CR2" s="111" t="s">
        <v>390</v>
      </c>
      <c r="CS2" s="112"/>
      <c r="CT2" s="112"/>
      <c r="CU2" s="112"/>
      <c r="CV2" s="112"/>
      <c r="CW2" s="112"/>
      <c r="CX2" s="113"/>
      <c r="CY2" s="111" t="s">
        <v>391</v>
      </c>
      <c r="CZ2" s="112"/>
      <c r="DA2" s="112"/>
      <c r="DB2" s="112"/>
      <c r="DC2" s="112"/>
      <c r="DD2" s="112"/>
      <c r="DE2" s="113"/>
      <c r="DF2" s="111" t="s">
        <v>392</v>
      </c>
      <c r="DG2" s="112"/>
      <c r="DH2" s="112"/>
      <c r="DI2" s="112"/>
      <c r="DJ2" s="112"/>
      <c r="DK2" s="112"/>
      <c r="DL2" s="113"/>
      <c r="DM2" s="111" t="s">
        <v>393</v>
      </c>
      <c r="DN2" s="112"/>
      <c r="DO2" s="112"/>
      <c r="DP2" s="112"/>
      <c r="DQ2" s="112"/>
      <c r="DR2" s="112"/>
      <c r="DS2" s="113"/>
      <c r="DT2" s="111" t="s">
        <v>394</v>
      </c>
      <c r="DU2" s="112"/>
      <c r="DV2" s="112"/>
      <c r="DW2" s="112"/>
      <c r="DX2" s="112"/>
      <c r="DY2" s="112"/>
      <c r="DZ2" s="113"/>
      <c r="EA2" s="111" t="s">
        <v>395</v>
      </c>
      <c r="EB2" s="112"/>
      <c r="EC2" s="112"/>
      <c r="ED2" s="112"/>
      <c r="EE2" s="112"/>
      <c r="EF2" s="112"/>
      <c r="EG2" s="113"/>
      <c r="EH2" s="111" t="s">
        <v>396</v>
      </c>
      <c r="EI2" s="112"/>
      <c r="EJ2" s="112"/>
      <c r="EK2" s="112"/>
      <c r="EL2" s="112"/>
      <c r="EM2" s="112"/>
      <c r="EN2" s="113"/>
      <c r="EO2" s="111" t="s">
        <v>397</v>
      </c>
      <c r="EP2" s="112"/>
      <c r="EQ2" s="112"/>
      <c r="ER2" s="112"/>
      <c r="ES2" s="112"/>
      <c r="ET2" s="112"/>
      <c r="EU2" s="113"/>
      <c r="EV2" s="111" t="s">
        <v>398</v>
      </c>
      <c r="EW2" s="112"/>
      <c r="EX2" s="112"/>
      <c r="EY2" s="112"/>
      <c r="EZ2" s="112"/>
      <c r="FA2" s="112"/>
      <c r="FB2" s="113"/>
      <c r="FC2" s="235" t="s">
        <v>414</v>
      </c>
      <c r="FD2" s="236"/>
      <c r="FE2" s="236"/>
      <c r="FF2" s="236"/>
      <c r="FG2" s="236"/>
      <c r="FH2" s="236"/>
      <c r="FI2" s="237"/>
      <c r="FJ2" s="240" t="s">
        <v>423</v>
      </c>
      <c r="FK2" s="236"/>
      <c r="FL2" s="236"/>
      <c r="FM2" s="236"/>
      <c r="FN2" s="236"/>
      <c r="FO2" s="236"/>
      <c r="FP2" s="237"/>
      <c r="FQ2" s="240" t="s">
        <v>422</v>
      </c>
      <c r="FR2" s="236"/>
      <c r="FS2" s="236"/>
      <c r="FT2" s="236"/>
      <c r="FU2" s="236"/>
      <c r="FV2" s="236"/>
      <c r="FW2" s="237"/>
      <c r="FX2" s="235" t="s">
        <v>421</v>
      </c>
      <c r="FY2" s="236"/>
      <c r="FZ2" s="236"/>
      <c r="GA2" s="236"/>
      <c r="GB2" s="236"/>
      <c r="GC2" s="236"/>
      <c r="GD2" s="237"/>
      <c r="GE2" s="235" t="s">
        <v>420</v>
      </c>
      <c r="GF2" s="236"/>
      <c r="GG2" s="236"/>
      <c r="GH2" s="236"/>
      <c r="GI2" s="236"/>
      <c r="GJ2" s="236"/>
      <c r="GK2" s="237"/>
      <c r="GL2" s="235" t="s">
        <v>419</v>
      </c>
      <c r="GM2" s="236"/>
      <c r="GN2" s="236"/>
      <c r="GO2" s="236"/>
      <c r="GP2" s="236"/>
      <c r="GQ2" s="236"/>
      <c r="GR2" s="237"/>
      <c r="GS2" s="235" t="s">
        <v>418</v>
      </c>
      <c r="GT2" s="236"/>
      <c r="GU2" s="236"/>
      <c r="GV2" s="236"/>
      <c r="GW2" s="236"/>
      <c r="GX2" s="236"/>
      <c r="GY2" s="237"/>
      <c r="GZ2" s="235" t="s">
        <v>428</v>
      </c>
      <c r="HA2" s="236"/>
      <c r="HB2" s="236"/>
      <c r="HC2" s="236"/>
      <c r="HD2" s="236"/>
      <c r="HE2" s="236"/>
      <c r="HF2" s="237"/>
      <c r="HG2" s="235" t="s">
        <v>429</v>
      </c>
      <c r="HH2" s="236"/>
      <c r="HI2" s="236"/>
      <c r="HJ2" s="236"/>
      <c r="HK2" s="236"/>
      <c r="HL2" s="236"/>
      <c r="HM2" s="237"/>
    </row>
    <row r="3" spans="1:229" ht="25.5" customHeight="1" x14ac:dyDescent="0.2">
      <c r="A3" s="145" t="s">
        <v>403</v>
      </c>
      <c r="B3" s="145" t="s">
        <v>401</v>
      </c>
      <c r="C3" s="145" t="s">
        <v>402</v>
      </c>
      <c r="D3" s="145" t="s">
        <v>404</v>
      </c>
      <c r="E3" s="110" t="s">
        <v>378</v>
      </c>
      <c r="F3" s="105" t="s">
        <v>373</v>
      </c>
      <c r="G3" s="105" t="s">
        <v>374</v>
      </c>
      <c r="H3" s="105" t="s">
        <v>375</v>
      </c>
      <c r="I3" s="105" t="s">
        <v>376</v>
      </c>
      <c r="J3" s="105" t="s">
        <v>377</v>
      </c>
      <c r="K3" s="110" t="s">
        <v>378</v>
      </c>
      <c r="L3" s="110" t="s">
        <v>378</v>
      </c>
      <c r="M3" s="105" t="s">
        <v>373</v>
      </c>
      <c r="N3" s="105" t="s">
        <v>374</v>
      </c>
      <c r="O3" s="105" t="s">
        <v>375</v>
      </c>
      <c r="P3" s="105" t="s">
        <v>376</v>
      </c>
      <c r="Q3" s="105" t="s">
        <v>377</v>
      </c>
      <c r="R3" s="110" t="s">
        <v>378</v>
      </c>
      <c r="S3" s="110" t="s">
        <v>378</v>
      </c>
      <c r="T3" s="105" t="s">
        <v>373</v>
      </c>
      <c r="U3" s="105" t="s">
        <v>374</v>
      </c>
      <c r="V3" s="105" t="s">
        <v>375</v>
      </c>
      <c r="W3" s="105" t="s">
        <v>376</v>
      </c>
      <c r="X3" s="105" t="s">
        <v>377</v>
      </c>
      <c r="Y3" s="110" t="s">
        <v>378</v>
      </c>
      <c r="Z3" s="152" t="s">
        <v>378</v>
      </c>
      <c r="AA3" s="105" t="s">
        <v>373</v>
      </c>
      <c r="AB3" s="105" t="s">
        <v>374</v>
      </c>
      <c r="AC3" s="105" t="s">
        <v>375</v>
      </c>
      <c r="AD3" s="105" t="s">
        <v>376</v>
      </c>
      <c r="AE3" s="105" t="s">
        <v>377</v>
      </c>
      <c r="AF3" s="110" t="s">
        <v>378</v>
      </c>
      <c r="AG3" s="110" t="s">
        <v>378</v>
      </c>
      <c r="AH3" s="105" t="s">
        <v>373</v>
      </c>
      <c r="AI3" s="105" t="s">
        <v>374</v>
      </c>
      <c r="AJ3" s="105" t="s">
        <v>375</v>
      </c>
      <c r="AK3" s="105" t="s">
        <v>376</v>
      </c>
      <c r="AL3" s="105" t="s">
        <v>377</v>
      </c>
      <c r="AM3" s="110" t="s">
        <v>378</v>
      </c>
      <c r="AN3" s="124" t="s">
        <v>378</v>
      </c>
      <c r="AO3" s="105" t="s">
        <v>373</v>
      </c>
      <c r="AP3" s="105" t="s">
        <v>374</v>
      </c>
      <c r="AQ3" s="105" t="s">
        <v>375</v>
      </c>
      <c r="AR3" s="105" t="s">
        <v>376</v>
      </c>
      <c r="AS3" s="105" t="s">
        <v>377</v>
      </c>
      <c r="AT3" s="110" t="s">
        <v>378</v>
      </c>
      <c r="AU3" s="110" t="s">
        <v>378</v>
      </c>
      <c r="AV3" s="105" t="s">
        <v>373</v>
      </c>
      <c r="AW3" s="105" t="s">
        <v>374</v>
      </c>
      <c r="AX3" s="105" t="s">
        <v>375</v>
      </c>
      <c r="AY3" s="105" t="s">
        <v>376</v>
      </c>
      <c r="AZ3" s="105" t="s">
        <v>377</v>
      </c>
      <c r="BA3" s="110" t="s">
        <v>378</v>
      </c>
      <c r="BB3" s="110" t="s">
        <v>378</v>
      </c>
      <c r="BC3" s="105" t="s">
        <v>373</v>
      </c>
      <c r="BD3" s="105" t="s">
        <v>374</v>
      </c>
      <c r="BE3" s="105" t="s">
        <v>375</v>
      </c>
      <c r="BF3" s="105" t="s">
        <v>376</v>
      </c>
      <c r="BG3" s="105" t="s">
        <v>377</v>
      </c>
      <c r="BH3" s="110" t="s">
        <v>378</v>
      </c>
      <c r="BI3" s="110" t="s">
        <v>378</v>
      </c>
      <c r="BJ3" s="105" t="s">
        <v>373</v>
      </c>
      <c r="BK3" s="105" t="s">
        <v>374</v>
      </c>
      <c r="BL3" s="105" t="s">
        <v>375</v>
      </c>
      <c r="BM3" s="105" t="s">
        <v>376</v>
      </c>
      <c r="BN3" s="105" t="s">
        <v>377</v>
      </c>
      <c r="BO3" s="110" t="s">
        <v>378</v>
      </c>
      <c r="BP3" s="124" t="s">
        <v>378</v>
      </c>
      <c r="BQ3" s="105" t="s">
        <v>373</v>
      </c>
      <c r="BR3" s="105" t="s">
        <v>374</v>
      </c>
      <c r="BS3" s="105" t="s">
        <v>375</v>
      </c>
      <c r="BT3" s="105" t="s">
        <v>376</v>
      </c>
      <c r="BU3" s="105" t="s">
        <v>377</v>
      </c>
      <c r="BV3" s="110" t="s">
        <v>378</v>
      </c>
      <c r="BW3" s="110" t="s">
        <v>378</v>
      </c>
      <c r="BX3" s="105" t="s">
        <v>373</v>
      </c>
      <c r="BY3" s="105" t="s">
        <v>374</v>
      </c>
      <c r="BZ3" s="105" t="s">
        <v>375</v>
      </c>
      <c r="CA3" s="105" t="s">
        <v>376</v>
      </c>
      <c r="CB3" s="105" t="s">
        <v>377</v>
      </c>
      <c r="CC3" s="110" t="s">
        <v>378</v>
      </c>
      <c r="CD3" s="110" t="s">
        <v>378</v>
      </c>
      <c r="CE3" s="105" t="s">
        <v>373</v>
      </c>
      <c r="CF3" s="105" t="s">
        <v>374</v>
      </c>
      <c r="CG3" s="105" t="s">
        <v>375</v>
      </c>
      <c r="CH3" s="105" t="s">
        <v>376</v>
      </c>
      <c r="CI3" s="105" t="s">
        <v>377</v>
      </c>
      <c r="CJ3" s="110" t="s">
        <v>378</v>
      </c>
      <c r="CK3" s="110" t="s">
        <v>378</v>
      </c>
      <c r="CL3" s="105" t="s">
        <v>373</v>
      </c>
      <c r="CM3" s="105" t="s">
        <v>374</v>
      </c>
      <c r="CN3" s="105" t="s">
        <v>375</v>
      </c>
      <c r="CO3" s="105" t="s">
        <v>376</v>
      </c>
      <c r="CP3" s="105" t="s">
        <v>377</v>
      </c>
      <c r="CQ3" s="110" t="s">
        <v>378</v>
      </c>
      <c r="CR3" s="110" t="s">
        <v>378</v>
      </c>
      <c r="CS3" s="105" t="s">
        <v>373</v>
      </c>
      <c r="CT3" s="105" t="s">
        <v>374</v>
      </c>
      <c r="CU3" s="105" t="s">
        <v>375</v>
      </c>
      <c r="CV3" s="105" t="s">
        <v>376</v>
      </c>
      <c r="CW3" s="105" t="s">
        <v>377</v>
      </c>
      <c r="CX3" s="110" t="s">
        <v>378</v>
      </c>
      <c r="CY3" s="124" t="s">
        <v>378</v>
      </c>
      <c r="CZ3" s="105" t="s">
        <v>373</v>
      </c>
      <c r="DA3" s="105" t="s">
        <v>374</v>
      </c>
      <c r="DB3" s="105" t="s">
        <v>375</v>
      </c>
      <c r="DC3" s="105" t="s">
        <v>376</v>
      </c>
      <c r="DD3" s="105" t="s">
        <v>377</v>
      </c>
      <c r="DE3" s="110" t="s">
        <v>378</v>
      </c>
      <c r="DF3" s="110" t="s">
        <v>378</v>
      </c>
      <c r="DG3" s="105" t="s">
        <v>373</v>
      </c>
      <c r="DH3" s="105" t="s">
        <v>374</v>
      </c>
      <c r="DI3" s="105" t="s">
        <v>375</v>
      </c>
      <c r="DJ3" s="105" t="s">
        <v>376</v>
      </c>
      <c r="DK3" s="105" t="s">
        <v>377</v>
      </c>
      <c r="DL3" s="110" t="s">
        <v>378</v>
      </c>
      <c r="DM3" s="110" t="s">
        <v>378</v>
      </c>
      <c r="DN3" s="105" t="s">
        <v>373</v>
      </c>
      <c r="DO3" s="105" t="s">
        <v>374</v>
      </c>
      <c r="DP3" s="105" t="s">
        <v>375</v>
      </c>
      <c r="DQ3" s="105" t="s">
        <v>376</v>
      </c>
      <c r="DR3" s="105" t="s">
        <v>377</v>
      </c>
      <c r="DS3" s="110" t="s">
        <v>378</v>
      </c>
      <c r="DT3" s="110" t="s">
        <v>378</v>
      </c>
      <c r="DU3" s="105" t="s">
        <v>373</v>
      </c>
      <c r="DV3" s="105" t="s">
        <v>374</v>
      </c>
      <c r="DW3" s="105" t="s">
        <v>375</v>
      </c>
      <c r="DX3" s="105" t="s">
        <v>376</v>
      </c>
      <c r="DY3" s="105" t="s">
        <v>377</v>
      </c>
      <c r="DZ3" s="110" t="s">
        <v>378</v>
      </c>
      <c r="EA3" s="110" t="s">
        <v>378</v>
      </c>
      <c r="EB3" s="105" t="s">
        <v>373</v>
      </c>
      <c r="EC3" s="105" t="s">
        <v>374</v>
      </c>
      <c r="ED3" s="105" t="s">
        <v>375</v>
      </c>
      <c r="EE3" s="105" t="s">
        <v>376</v>
      </c>
      <c r="EF3" s="105" t="s">
        <v>377</v>
      </c>
      <c r="EG3" s="105" t="s">
        <v>378</v>
      </c>
      <c r="EH3" s="124" t="s">
        <v>378</v>
      </c>
      <c r="EI3" s="105" t="s">
        <v>373</v>
      </c>
      <c r="EJ3" s="105" t="s">
        <v>374</v>
      </c>
      <c r="EK3" s="105" t="s">
        <v>375</v>
      </c>
      <c r="EL3" s="105" t="s">
        <v>376</v>
      </c>
      <c r="EM3" s="105" t="s">
        <v>377</v>
      </c>
      <c r="EN3" s="110" t="s">
        <v>378</v>
      </c>
      <c r="EO3" s="110" t="s">
        <v>378</v>
      </c>
      <c r="EP3" s="105" t="s">
        <v>373</v>
      </c>
      <c r="EQ3" s="105" t="s">
        <v>374</v>
      </c>
      <c r="ER3" s="105" t="s">
        <v>375</v>
      </c>
      <c r="ES3" s="105" t="s">
        <v>376</v>
      </c>
      <c r="ET3" s="105" t="s">
        <v>377</v>
      </c>
      <c r="EU3" s="110" t="s">
        <v>378</v>
      </c>
      <c r="EV3" s="110" t="s">
        <v>378</v>
      </c>
      <c r="EW3" s="105" t="s">
        <v>373</v>
      </c>
      <c r="EX3" s="105" t="s">
        <v>374</v>
      </c>
      <c r="EY3" s="105" t="s">
        <v>375</v>
      </c>
      <c r="EZ3" s="105" t="s">
        <v>376</v>
      </c>
      <c r="FA3" s="105" t="s">
        <v>377</v>
      </c>
      <c r="FB3" s="110" t="s">
        <v>378</v>
      </c>
      <c r="FC3" s="110" t="s">
        <v>378</v>
      </c>
      <c r="FD3" s="105" t="s">
        <v>373</v>
      </c>
      <c r="FE3" s="105" t="s">
        <v>374</v>
      </c>
      <c r="FF3" s="105" t="s">
        <v>375</v>
      </c>
      <c r="FG3" s="105" t="s">
        <v>376</v>
      </c>
      <c r="FH3" s="105" t="s">
        <v>377</v>
      </c>
      <c r="FI3" s="110" t="s">
        <v>378</v>
      </c>
      <c r="FJ3" s="110" t="s">
        <v>378</v>
      </c>
      <c r="FK3" s="105" t="s">
        <v>373</v>
      </c>
      <c r="FL3" s="105" t="s">
        <v>374</v>
      </c>
      <c r="FM3" s="105" t="s">
        <v>375</v>
      </c>
      <c r="FN3" s="105" t="s">
        <v>376</v>
      </c>
      <c r="FO3" s="105" t="s">
        <v>377</v>
      </c>
      <c r="FP3" s="110" t="s">
        <v>378</v>
      </c>
      <c r="FQ3" s="110" t="s">
        <v>378</v>
      </c>
      <c r="FR3" s="105" t="s">
        <v>373</v>
      </c>
      <c r="FS3" s="105" t="s">
        <v>374</v>
      </c>
      <c r="FT3" s="105" t="s">
        <v>375</v>
      </c>
      <c r="FU3" s="105" t="s">
        <v>376</v>
      </c>
      <c r="FV3" s="105" t="s">
        <v>377</v>
      </c>
      <c r="FW3" s="110" t="s">
        <v>378</v>
      </c>
      <c r="FX3" s="124" t="s">
        <v>378</v>
      </c>
      <c r="FY3" s="105" t="s">
        <v>373</v>
      </c>
      <c r="FZ3" s="105" t="s">
        <v>374</v>
      </c>
      <c r="GA3" s="105" t="s">
        <v>375</v>
      </c>
      <c r="GB3" s="105" t="s">
        <v>376</v>
      </c>
      <c r="GC3" s="105" t="s">
        <v>377</v>
      </c>
      <c r="GD3" s="110" t="s">
        <v>378</v>
      </c>
      <c r="GE3" s="160" t="s">
        <v>378</v>
      </c>
      <c r="GF3" s="158" t="s">
        <v>373</v>
      </c>
      <c r="GG3" s="105" t="s">
        <v>374</v>
      </c>
      <c r="GH3" s="105" t="s">
        <v>375</v>
      </c>
      <c r="GI3" s="105" t="s">
        <v>376</v>
      </c>
      <c r="GJ3" s="105" t="s">
        <v>377</v>
      </c>
      <c r="GK3" s="110" t="s">
        <v>378</v>
      </c>
      <c r="GL3" s="124" t="s">
        <v>378</v>
      </c>
      <c r="GM3" s="105" t="s">
        <v>373</v>
      </c>
      <c r="GN3" s="105" t="s">
        <v>374</v>
      </c>
      <c r="GO3" s="105" t="s">
        <v>375</v>
      </c>
      <c r="GP3" s="105" t="s">
        <v>376</v>
      </c>
      <c r="GQ3" s="105" t="s">
        <v>377</v>
      </c>
      <c r="GR3" s="110" t="s">
        <v>378</v>
      </c>
      <c r="GS3" s="124" t="s">
        <v>378</v>
      </c>
      <c r="GT3" s="158" t="s">
        <v>373</v>
      </c>
      <c r="GU3" s="105" t="s">
        <v>374</v>
      </c>
      <c r="GV3" s="105" t="s">
        <v>375</v>
      </c>
      <c r="GW3" s="105" t="s">
        <v>376</v>
      </c>
      <c r="GX3" s="105" t="s">
        <v>377</v>
      </c>
      <c r="GY3" s="110" t="s">
        <v>378</v>
      </c>
      <c r="GZ3" s="124" t="s">
        <v>378</v>
      </c>
      <c r="HA3" s="105" t="s">
        <v>373</v>
      </c>
      <c r="HB3" s="105" t="s">
        <v>374</v>
      </c>
      <c r="HC3" s="105" t="s">
        <v>375</v>
      </c>
      <c r="HD3" s="105" t="s">
        <v>376</v>
      </c>
      <c r="HE3" s="105" t="s">
        <v>377</v>
      </c>
      <c r="HF3" s="110" t="s">
        <v>378</v>
      </c>
      <c r="HG3" s="124" t="s">
        <v>378</v>
      </c>
      <c r="HH3" s="105" t="s">
        <v>373</v>
      </c>
      <c r="HI3" s="105" t="s">
        <v>374</v>
      </c>
      <c r="HJ3" s="105" t="s">
        <v>375</v>
      </c>
      <c r="HK3" s="105" t="s">
        <v>376</v>
      </c>
      <c r="HL3" s="105" t="s">
        <v>377</v>
      </c>
      <c r="HM3" s="110" t="s">
        <v>378</v>
      </c>
    </row>
    <row r="4" spans="1:229" x14ac:dyDescent="0.2">
      <c r="A4" s="106" t="s">
        <v>358</v>
      </c>
      <c r="B4" s="138">
        <v>40986</v>
      </c>
      <c r="C4" s="138">
        <v>41013</v>
      </c>
      <c r="D4" s="106">
        <v>3</v>
      </c>
      <c r="E4" s="116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61"/>
      <c r="CD4" s="147"/>
      <c r="CK4" s="147"/>
      <c r="DF4" s="130"/>
      <c r="EH4" s="130"/>
      <c r="EO4" s="147"/>
      <c r="FQ4" s="130"/>
      <c r="FX4" s="147"/>
      <c r="GE4" s="147"/>
      <c r="GS4" s="30"/>
      <c r="GZ4" s="147"/>
      <c r="HG4" s="130"/>
      <c r="HN4" s="147"/>
      <c r="HU4" s="30"/>
    </row>
    <row r="5" spans="1:229" hidden="1" outlineLevel="1" x14ac:dyDescent="0.2">
      <c r="A5" s="100" t="s">
        <v>251</v>
      </c>
      <c r="D5" s="100">
        <v>1</v>
      </c>
      <c r="E5" s="114"/>
      <c r="L5" s="76"/>
      <c r="Z5" s="30"/>
      <c r="AN5" s="30"/>
      <c r="BP5" s="131"/>
      <c r="CD5" s="30"/>
      <c r="CK5" s="30"/>
      <c r="DF5" s="131"/>
      <c r="EH5" s="131"/>
      <c r="EO5" s="30"/>
      <c r="EP5" s="30"/>
      <c r="EQ5" s="30"/>
      <c r="ER5" s="30"/>
      <c r="ES5" s="30"/>
      <c r="ET5" s="30"/>
      <c r="EU5" s="30"/>
      <c r="EV5" s="30"/>
      <c r="FQ5" s="131"/>
      <c r="FX5" s="30"/>
      <c r="GE5" s="30"/>
      <c r="GS5" s="30"/>
      <c r="GZ5" s="30"/>
      <c r="HG5" s="131"/>
      <c r="HN5" s="30"/>
      <c r="HU5" s="30"/>
    </row>
    <row r="6" spans="1:229" hidden="1" outlineLevel="1" x14ac:dyDescent="0.2">
      <c r="A6" s="100" t="s">
        <v>250</v>
      </c>
      <c r="B6" s="100"/>
      <c r="C6" s="100"/>
      <c r="D6" s="100">
        <v>1</v>
      </c>
      <c r="E6" s="114"/>
      <c r="J6" s="76"/>
      <c r="K6" s="114"/>
      <c r="Z6" s="30"/>
      <c r="AN6" s="30"/>
      <c r="BP6" s="131"/>
      <c r="CD6" s="30"/>
      <c r="CK6" s="30"/>
      <c r="DF6" s="131"/>
      <c r="EH6" s="131"/>
      <c r="EO6" s="30"/>
      <c r="EP6" s="30"/>
      <c r="EQ6" s="30"/>
      <c r="ER6" s="30"/>
      <c r="ES6" s="30"/>
      <c r="ET6" s="30"/>
      <c r="EU6" s="30"/>
      <c r="EV6" s="30"/>
      <c r="FQ6" s="131"/>
      <c r="FX6" s="30"/>
      <c r="GE6" s="30"/>
      <c r="GS6" s="30"/>
      <c r="GZ6" s="30"/>
      <c r="HG6" s="131"/>
      <c r="HN6" s="30"/>
      <c r="HU6" s="30"/>
    </row>
    <row r="7" spans="1:229" ht="25.5" hidden="1" outlineLevel="1" x14ac:dyDescent="0.2">
      <c r="A7" s="100" t="s">
        <v>430</v>
      </c>
      <c r="D7" s="100">
        <v>1</v>
      </c>
      <c r="L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P7" s="131"/>
      <c r="CD7" s="30"/>
      <c r="CK7" s="30"/>
      <c r="DF7" s="131"/>
      <c r="EH7" s="131"/>
      <c r="EO7" s="30"/>
      <c r="EP7" s="30"/>
      <c r="EQ7" s="30"/>
      <c r="ER7" s="30"/>
      <c r="ES7" s="30"/>
      <c r="ET7" s="30"/>
      <c r="EU7" s="30"/>
      <c r="EV7" s="30"/>
      <c r="FQ7" s="131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S7" s="30"/>
      <c r="GZ7" s="30"/>
      <c r="HG7" s="131"/>
      <c r="HN7" s="30"/>
      <c r="HU7" s="30"/>
    </row>
    <row r="8" spans="1:229" hidden="1" outlineLevel="1" x14ac:dyDescent="0.2">
      <c r="A8" s="100" t="s">
        <v>255</v>
      </c>
      <c r="B8" s="100"/>
      <c r="C8" s="100"/>
      <c r="D8" s="100">
        <v>1</v>
      </c>
      <c r="E8" s="76"/>
      <c r="S8" s="76"/>
      <c r="Z8" s="30"/>
      <c r="AN8" s="30"/>
      <c r="BB8" s="114"/>
      <c r="BP8" s="131"/>
      <c r="CD8" s="30"/>
      <c r="CK8" s="30"/>
      <c r="DF8" s="131"/>
      <c r="EH8" s="131"/>
      <c r="EO8" s="30"/>
      <c r="EP8" s="30"/>
      <c r="EQ8" s="30"/>
      <c r="ER8" s="30"/>
      <c r="ES8" s="30"/>
      <c r="ET8" s="30"/>
      <c r="EU8" s="30"/>
      <c r="EV8" s="30"/>
      <c r="FQ8" s="131"/>
      <c r="FX8" s="30"/>
      <c r="GE8" s="30"/>
      <c r="GS8" s="30"/>
      <c r="GZ8" s="30"/>
      <c r="HG8" s="131"/>
      <c r="HN8" s="30"/>
      <c r="HU8" s="30"/>
    </row>
    <row r="9" spans="1:229" collapsed="1" x14ac:dyDescent="0.2">
      <c r="A9" s="106" t="s">
        <v>357</v>
      </c>
      <c r="B9" s="138">
        <v>40993</v>
      </c>
      <c r="C9" s="138">
        <v>41048</v>
      </c>
      <c r="D9" s="106">
        <v>8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G9" s="114"/>
      <c r="AH9" s="114"/>
      <c r="AI9" s="114"/>
      <c r="AJ9" s="114"/>
      <c r="AK9" s="114"/>
      <c r="AL9" s="114"/>
      <c r="AM9" s="114"/>
      <c r="AN9" s="122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21"/>
      <c r="BI9" s="119"/>
      <c r="BP9" s="131"/>
      <c r="CD9" s="30"/>
      <c r="CK9" s="30"/>
      <c r="DF9" s="131"/>
      <c r="EH9" s="131"/>
      <c r="EO9" s="30"/>
      <c r="EV9" s="30"/>
      <c r="FQ9" s="131"/>
      <c r="FX9" s="30"/>
      <c r="GE9" s="30"/>
      <c r="GS9" s="30"/>
      <c r="GZ9" s="30"/>
      <c r="HG9" s="131"/>
      <c r="HN9" s="30"/>
      <c r="HU9" s="30"/>
    </row>
    <row r="10" spans="1:229" hidden="1" outlineLevel="1" x14ac:dyDescent="0.2">
      <c r="A10" s="24" t="s">
        <v>407</v>
      </c>
      <c r="B10" s="143">
        <v>40989</v>
      </c>
      <c r="C10" s="143">
        <v>41019</v>
      </c>
      <c r="E10" s="114"/>
      <c r="L10" s="114"/>
      <c r="M10" s="114"/>
      <c r="N10" s="114"/>
      <c r="O10" s="114"/>
      <c r="P10" s="114"/>
      <c r="Q10" s="114"/>
      <c r="R10" s="114"/>
      <c r="S10" s="114"/>
      <c r="Z10" s="114"/>
      <c r="AG10" s="114"/>
      <c r="AH10" s="114"/>
      <c r="AI10" s="114"/>
      <c r="AJ10" s="114"/>
      <c r="AK10" s="114"/>
      <c r="AL10" s="114"/>
      <c r="AM10" s="114"/>
      <c r="AN10" s="122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21"/>
      <c r="BP10" s="131"/>
      <c r="CD10" s="30"/>
      <c r="CK10" s="30"/>
      <c r="DF10" s="131"/>
      <c r="EH10" s="131"/>
      <c r="EO10" s="30"/>
      <c r="FQ10" s="131"/>
      <c r="FX10" s="30"/>
      <c r="GE10" s="30"/>
      <c r="GS10" s="30"/>
      <c r="GZ10" s="30"/>
      <c r="HG10" s="131"/>
      <c r="HN10" s="30"/>
      <c r="HU10" s="30"/>
    </row>
    <row r="11" spans="1:229" hidden="1" outlineLevel="1" x14ac:dyDescent="0.2">
      <c r="A11" s="100" t="s">
        <v>348</v>
      </c>
      <c r="B11" s="144">
        <v>41020</v>
      </c>
      <c r="C11" s="144">
        <v>41020</v>
      </c>
      <c r="D11" s="100"/>
      <c r="AN11" s="30"/>
      <c r="BB11" s="121"/>
      <c r="BI11" s="119"/>
      <c r="BP11" s="131"/>
      <c r="CD11" s="30"/>
      <c r="CK11" s="30"/>
      <c r="DF11" s="131"/>
      <c r="EH11" s="131"/>
      <c r="EO11" s="30"/>
      <c r="FQ11" s="131"/>
      <c r="FX11" s="30"/>
      <c r="GE11" s="30"/>
      <c r="GS11" s="30"/>
      <c r="GZ11" s="30"/>
      <c r="HG11" s="131"/>
      <c r="HN11" s="30"/>
      <c r="HU11" s="30"/>
    </row>
    <row r="12" spans="1:229" hidden="1" outlineLevel="1" x14ac:dyDescent="0.2">
      <c r="A12" s="100" t="s">
        <v>56</v>
      </c>
      <c r="B12" s="100"/>
      <c r="C12" s="144">
        <v>41059</v>
      </c>
      <c r="D12" s="100"/>
      <c r="AN12" s="30"/>
      <c r="BB12" s="121"/>
      <c r="BI12" s="119"/>
      <c r="BP12" s="131"/>
      <c r="CD12" s="30"/>
      <c r="CK12" s="30"/>
      <c r="DF12" s="131"/>
      <c r="EH12" s="131"/>
      <c r="EO12" s="30"/>
      <c r="FQ12" s="131"/>
      <c r="FX12" s="30"/>
      <c r="GE12" s="30"/>
      <c r="GS12" s="30"/>
      <c r="GZ12" s="30"/>
      <c r="HG12" s="131"/>
      <c r="HN12" s="30"/>
      <c r="HU12" s="30"/>
    </row>
    <row r="13" spans="1:229" collapsed="1" x14ac:dyDescent="0.2">
      <c r="A13" s="106" t="s">
        <v>356</v>
      </c>
      <c r="B13" s="138">
        <v>41000</v>
      </c>
      <c r="C13" s="138">
        <v>41048</v>
      </c>
      <c r="D13" s="106">
        <v>7</v>
      </c>
      <c r="L13" s="153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G13" s="115"/>
      <c r="AH13" s="115"/>
      <c r="AI13" s="115"/>
      <c r="AJ13" s="115"/>
      <c r="AK13" s="115"/>
      <c r="AL13" s="115"/>
      <c r="AM13" s="115"/>
      <c r="AN13" s="153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54"/>
      <c r="BI13" s="119"/>
      <c r="BP13" s="131"/>
      <c r="CD13" s="30"/>
      <c r="CK13" s="30"/>
      <c r="DF13" s="131"/>
      <c r="EH13" s="131"/>
      <c r="EO13" s="30"/>
      <c r="FQ13" s="131"/>
      <c r="FX13" s="30"/>
      <c r="GE13" s="30"/>
      <c r="GS13" s="30"/>
      <c r="GZ13" s="30"/>
      <c r="HG13" s="131"/>
      <c r="HN13" s="30"/>
      <c r="HU13" s="30"/>
    </row>
    <row r="14" spans="1:229" hidden="1" outlineLevel="1" x14ac:dyDescent="0.2">
      <c r="A14" s="101" t="s">
        <v>408</v>
      </c>
      <c r="B14" s="101"/>
      <c r="C14" s="101"/>
      <c r="D14" s="101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G14" s="115"/>
      <c r="AH14" s="115"/>
      <c r="AI14" s="115"/>
      <c r="AJ14" s="115"/>
      <c r="AK14" s="115"/>
      <c r="AL14" s="115"/>
      <c r="AM14" s="115"/>
      <c r="AN14" s="153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54"/>
      <c r="BI14" s="119"/>
      <c r="BP14" s="131"/>
      <c r="CD14" s="30"/>
      <c r="CK14" s="30"/>
      <c r="DF14" s="131"/>
      <c r="EH14" s="131"/>
      <c r="EO14" s="30"/>
      <c r="FQ14" s="131"/>
      <c r="FX14" s="30"/>
      <c r="GE14" s="30"/>
      <c r="GS14" s="30"/>
      <c r="GZ14" s="30"/>
      <c r="HG14" s="131"/>
      <c r="HN14" s="30"/>
      <c r="HU14" s="30"/>
    </row>
    <row r="15" spans="1:229" collapsed="1" x14ac:dyDescent="0.2">
      <c r="A15" s="106" t="s">
        <v>367</v>
      </c>
      <c r="B15" s="139">
        <v>41030</v>
      </c>
      <c r="C15" s="139">
        <v>41020</v>
      </c>
      <c r="D15" s="136">
        <v>3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G15" s="115"/>
      <c r="AN15" s="30"/>
      <c r="BB15" s="131"/>
      <c r="BP15" s="131"/>
      <c r="CD15" s="30"/>
      <c r="CK15" s="30"/>
      <c r="DF15" s="131"/>
      <c r="EH15" s="131"/>
      <c r="EO15" s="30"/>
      <c r="FQ15" s="131"/>
      <c r="FX15" s="30"/>
      <c r="GE15" s="30"/>
      <c r="GS15" s="30"/>
      <c r="GZ15" s="30"/>
      <c r="HG15" s="131"/>
      <c r="HN15" s="30"/>
      <c r="HU15" s="30"/>
    </row>
    <row r="16" spans="1:229" hidden="1" outlineLevel="1" x14ac:dyDescent="0.2">
      <c r="A16" s="100" t="s">
        <v>259</v>
      </c>
      <c r="B16" s="101"/>
      <c r="C16" s="101"/>
      <c r="D16" s="101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G16" s="115"/>
      <c r="AN16" s="30"/>
      <c r="BB16" s="131"/>
      <c r="BI16" s="119"/>
      <c r="BP16" s="131"/>
      <c r="CD16" s="131"/>
      <c r="CK16" s="30"/>
      <c r="DF16" s="131"/>
      <c r="EH16" s="131"/>
      <c r="EO16" s="30"/>
      <c r="FQ16" s="131"/>
      <c r="FX16" s="30"/>
      <c r="GE16" s="30"/>
      <c r="GS16" s="30"/>
      <c r="GZ16" s="30"/>
      <c r="HG16" s="131"/>
      <c r="HN16" s="30"/>
      <c r="HU16" s="30"/>
    </row>
    <row r="17" spans="1:229" ht="15" customHeight="1" collapsed="1" x14ac:dyDescent="0.2">
      <c r="A17" s="106" t="s">
        <v>424</v>
      </c>
      <c r="B17" s="140">
        <v>41014</v>
      </c>
      <c r="C17" s="140">
        <v>41048</v>
      </c>
      <c r="D17" s="125">
        <v>5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6"/>
      <c r="AP17" s="126"/>
      <c r="AQ17" s="126"/>
      <c r="AR17" s="126"/>
      <c r="AS17" s="126"/>
      <c r="AT17" s="126"/>
      <c r="AU17" s="127"/>
      <c r="AV17" s="126"/>
      <c r="AW17" s="126"/>
      <c r="AX17" s="126"/>
      <c r="AY17" s="126"/>
      <c r="AZ17" s="126"/>
      <c r="BA17" s="126"/>
      <c r="BB17" s="127"/>
      <c r="BC17" s="126"/>
      <c r="BD17" s="126"/>
      <c r="BE17" s="126"/>
      <c r="BF17" s="126"/>
      <c r="BG17" s="126"/>
      <c r="BH17" s="126"/>
      <c r="BI17" s="162"/>
      <c r="BJ17" s="126"/>
      <c r="BK17" s="126"/>
      <c r="BL17" s="126"/>
      <c r="BM17" s="126"/>
      <c r="BN17" s="126"/>
      <c r="BO17" s="126"/>
      <c r="BP17" s="155"/>
      <c r="CK17" s="30"/>
      <c r="DF17" s="131"/>
      <c r="EH17" s="131"/>
      <c r="EO17" s="30"/>
      <c r="FQ17" s="131"/>
      <c r="FX17" s="30"/>
      <c r="GE17" s="30"/>
      <c r="GS17" s="30"/>
      <c r="GZ17" s="30"/>
      <c r="HG17" s="131"/>
      <c r="HN17" s="30"/>
      <c r="HU17" s="30"/>
    </row>
    <row r="18" spans="1:229" hidden="1" outlineLevel="1" x14ac:dyDescent="0.2">
      <c r="A18" s="101" t="s">
        <v>427</v>
      </c>
      <c r="B18" s="156"/>
      <c r="C18" s="156"/>
      <c r="D18" s="157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I18" s="120"/>
      <c r="BJ18" s="65"/>
      <c r="BK18" s="65"/>
      <c r="BL18" s="65"/>
      <c r="BM18" s="65"/>
      <c r="BN18" s="65"/>
      <c r="BO18" s="65"/>
      <c r="BP18" s="65"/>
      <c r="BQ18" s="76"/>
      <c r="BR18" s="76"/>
      <c r="BS18" s="76"/>
      <c r="BT18" s="76"/>
      <c r="BU18" s="76"/>
      <c r="BV18" s="76"/>
      <c r="CK18" s="120"/>
      <c r="DF18" s="131"/>
      <c r="EH18" s="131"/>
      <c r="EO18" s="30"/>
      <c r="FQ18" s="131"/>
      <c r="FX18" s="30"/>
      <c r="GE18" s="30"/>
      <c r="GS18" s="30"/>
      <c r="GZ18" s="30"/>
      <c r="HG18" s="131"/>
      <c r="HN18" s="30"/>
      <c r="HU18" s="30"/>
    </row>
    <row r="19" spans="1:229" ht="15" hidden="1" customHeight="1" outlineLevel="1" x14ac:dyDescent="0.2">
      <c r="A19" s="101" t="s">
        <v>426</v>
      </c>
      <c r="B19" s="156"/>
      <c r="C19" s="156"/>
      <c r="D19" s="15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30"/>
      <c r="AP19" s="30"/>
      <c r="AQ19" s="30"/>
      <c r="AR19" s="30"/>
      <c r="AS19" s="30"/>
      <c r="AT19" s="30"/>
      <c r="AU19" s="122"/>
      <c r="BI19" s="119"/>
      <c r="CK19" s="119"/>
      <c r="DF19" s="131"/>
      <c r="EH19" s="131"/>
      <c r="EO19" s="30"/>
      <c r="FQ19" s="131"/>
      <c r="FX19" s="30"/>
      <c r="GE19" s="30"/>
      <c r="GS19" s="30"/>
      <c r="GZ19" s="30"/>
      <c r="HG19" s="131"/>
      <c r="HN19" s="30"/>
      <c r="HU19" s="30"/>
    </row>
    <row r="20" spans="1:229" ht="15" hidden="1" customHeight="1" outlineLevel="1" x14ac:dyDescent="0.2">
      <c r="A20" s="101" t="s">
        <v>425</v>
      </c>
      <c r="B20" s="156"/>
      <c r="C20" s="156"/>
      <c r="D20" s="157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76"/>
      <c r="AW20" s="76"/>
      <c r="AX20" s="76"/>
      <c r="AY20" s="76"/>
      <c r="AZ20" s="76"/>
      <c r="BA20" s="76"/>
      <c r="BB20" s="122"/>
      <c r="BI20" s="120"/>
      <c r="CK20" s="119"/>
      <c r="DF20" s="131"/>
      <c r="EH20" s="131"/>
      <c r="EO20" s="30"/>
      <c r="FQ20" s="131"/>
      <c r="FX20" s="30"/>
      <c r="GE20" s="30"/>
      <c r="GS20" s="30"/>
      <c r="GZ20" s="30"/>
      <c r="HG20" s="131"/>
      <c r="HN20" s="30"/>
      <c r="HU20" s="30"/>
    </row>
    <row r="21" spans="1:229" ht="25.5" collapsed="1" x14ac:dyDescent="0.2">
      <c r="A21" s="106" t="s">
        <v>355</v>
      </c>
      <c r="B21" s="141">
        <v>41049</v>
      </c>
      <c r="C21" s="141">
        <v>41062</v>
      </c>
      <c r="D21" s="108">
        <v>2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126"/>
      <c r="BK21" s="126"/>
      <c r="BL21" s="126"/>
      <c r="BM21" s="126"/>
      <c r="BN21" s="126"/>
      <c r="BO21" s="126"/>
      <c r="BP21" s="30"/>
      <c r="BQ21" s="30"/>
      <c r="BR21" s="30"/>
      <c r="BS21" s="30"/>
      <c r="BT21" s="30"/>
      <c r="BU21" s="30"/>
      <c r="BV21" s="131"/>
      <c r="BW21" s="128"/>
      <c r="BX21" s="127"/>
      <c r="BY21" s="127"/>
      <c r="BZ21" s="127"/>
      <c r="CA21" s="127"/>
      <c r="CB21" s="127"/>
      <c r="CC21" s="127"/>
      <c r="CD21" s="129"/>
      <c r="CE21" s="30"/>
      <c r="CK21" s="30"/>
      <c r="DF21" s="131"/>
      <c r="EH21" s="131"/>
      <c r="EO21" s="30"/>
      <c r="FQ21" s="131"/>
      <c r="FX21" s="30"/>
      <c r="GE21" s="30"/>
      <c r="GS21" s="30"/>
      <c r="GZ21" s="30"/>
      <c r="HG21" s="131"/>
      <c r="HN21" s="30"/>
      <c r="HU21" s="30"/>
    </row>
    <row r="22" spans="1:229" ht="25.5" hidden="1" outlineLevel="1" x14ac:dyDescent="0.2">
      <c r="A22" s="101" t="s">
        <v>138</v>
      </c>
      <c r="B22" s="101"/>
      <c r="C22" s="101"/>
      <c r="D22" s="101"/>
      <c r="BI22" s="115"/>
      <c r="BJ22" s="115"/>
      <c r="BK22" s="115"/>
      <c r="BL22" s="115"/>
      <c r="BM22" s="115"/>
      <c r="BN22" s="115"/>
      <c r="BO22" s="115"/>
      <c r="BP22" s="115"/>
      <c r="DF22" s="131"/>
      <c r="EH22" s="131"/>
      <c r="EO22" s="30"/>
      <c r="FQ22" s="131"/>
      <c r="FX22" s="30"/>
      <c r="GE22" s="30"/>
      <c r="GS22" s="30"/>
      <c r="GZ22" s="30"/>
      <c r="HG22" s="131"/>
      <c r="HN22" s="30"/>
      <c r="HU22" s="30"/>
    </row>
    <row r="23" spans="1:229" hidden="1" outlineLevel="1" x14ac:dyDescent="0.2">
      <c r="A23" s="101" t="s">
        <v>208</v>
      </c>
      <c r="B23" s="101"/>
      <c r="C23" s="101"/>
      <c r="D23" s="101"/>
      <c r="BI23" s="115"/>
      <c r="BJ23" s="115"/>
      <c r="BK23" s="115"/>
      <c r="BL23" s="115"/>
      <c r="BM23" s="115"/>
      <c r="BN23" s="115"/>
      <c r="BO23" s="115"/>
      <c r="BP23" s="153"/>
      <c r="CK23" s="119"/>
      <c r="DF23" s="131"/>
      <c r="EH23" s="131"/>
      <c r="EO23" s="30"/>
      <c r="FQ23" s="131"/>
      <c r="FX23" s="30"/>
      <c r="GE23" s="30"/>
      <c r="GS23" s="30"/>
      <c r="GZ23" s="30"/>
      <c r="HG23" s="131"/>
      <c r="HN23" s="30"/>
      <c r="HU23" s="30"/>
    </row>
    <row r="24" spans="1:229" collapsed="1" x14ac:dyDescent="0.2">
      <c r="A24" s="106" t="s">
        <v>354</v>
      </c>
      <c r="B24" s="141">
        <v>41063</v>
      </c>
      <c r="C24" s="141">
        <v>41076</v>
      </c>
      <c r="D24" s="108">
        <v>2</v>
      </c>
      <c r="AU24" t="s">
        <v>411</v>
      </c>
      <c r="BB24" t="s">
        <v>411</v>
      </c>
      <c r="BI24" t="s">
        <v>411</v>
      </c>
      <c r="BP24" t="s">
        <v>411</v>
      </c>
      <c r="CK24" s="118"/>
      <c r="CL24" s="114"/>
      <c r="CM24" s="114"/>
      <c r="CN24" s="114"/>
      <c r="CO24" s="114"/>
      <c r="CP24" s="114"/>
      <c r="CQ24" s="114"/>
      <c r="CR24" s="114"/>
      <c r="CY24" s="119"/>
      <c r="DF24" s="131"/>
      <c r="EH24" s="131"/>
      <c r="EO24" s="30"/>
      <c r="FQ24" s="131"/>
      <c r="FX24" s="30"/>
      <c r="GE24" s="30"/>
      <c r="GS24" s="30"/>
      <c r="GZ24" s="30"/>
      <c r="HG24" s="131"/>
      <c r="HN24" s="30"/>
      <c r="HU24" s="30"/>
    </row>
    <row r="25" spans="1:229" ht="42" hidden="1" customHeight="1" outlineLevel="1" x14ac:dyDescent="0.2">
      <c r="A25" s="101" t="s">
        <v>328</v>
      </c>
      <c r="B25" s="101"/>
      <c r="C25" s="101"/>
      <c r="D25" s="101"/>
      <c r="CK25" s="122"/>
      <c r="CL25" s="114"/>
      <c r="CM25" s="114"/>
      <c r="CN25" s="114"/>
      <c r="CO25" s="114"/>
      <c r="CP25" s="114"/>
      <c r="CQ25" s="114"/>
      <c r="CR25" s="114"/>
      <c r="CY25" s="30"/>
      <c r="DF25" s="131"/>
      <c r="EH25" s="131"/>
      <c r="EO25" s="30"/>
      <c r="FQ25" s="131"/>
      <c r="FX25" s="30"/>
      <c r="GE25" s="30"/>
      <c r="GS25" s="30"/>
      <c r="GZ25" s="30"/>
      <c r="HG25" s="131"/>
      <c r="HN25" s="30"/>
      <c r="HU25" s="30"/>
    </row>
    <row r="26" spans="1:229" ht="14.25" hidden="1" customHeight="1" outlineLevel="1" x14ac:dyDescent="0.2">
      <c r="A26" s="101" t="s">
        <v>309</v>
      </c>
      <c r="B26" s="101"/>
      <c r="C26" s="101"/>
      <c r="D26" s="101"/>
      <c r="CK26" s="122"/>
      <c r="CL26" s="114"/>
      <c r="CM26" s="114"/>
      <c r="CN26" s="114"/>
      <c r="CO26" s="114"/>
      <c r="CP26" s="114"/>
      <c r="CQ26" s="114"/>
      <c r="CR26" s="114"/>
      <c r="CY26" s="30"/>
      <c r="DF26" s="131"/>
      <c r="EH26" s="131"/>
      <c r="EO26" s="30"/>
      <c r="FQ26" s="131"/>
      <c r="FX26" s="30"/>
      <c r="GE26" s="30"/>
      <c r="GS26" s="30"/>
      <c r="GZ26" s="30"/>
      <c r="HG26" s="131"/>
      <c r="HN26" s="30"/>
      <c r="HU26" s="30"/>
    </row>
    <row r="27" spans="1:229" hidden="1" outlineLevel="1" x14ac:dyDescent="0.2">
      <c r="A27" s="101" t="s">
        <v>206</v>
      </c>
      <c r="B27" s="101"/>
      <c r="C27" s="101"/>
      <c r="D27" s="101"/>
      <c r="CK27" s="122"/>
      <c r="CL27" s="114"/>
      <c r="CM27" s="114"/>
      <c r="CN27" s="114"/>
      <c r="CO27" s="114"/>
      <c r="CP27" s="114"/>
      <c r="CQ27" s="114"/>
      <c r="CR27" s="114"/>
      <c r="CY27" s="30"/>
      <c r="DF27" s="131"/>
      <c r="EH27" s="131"/>
      <c r="EO27" s="30"/>
      <c r="FQ27" s="131"/>
      <c r="FX27" s="30"/>
      <c r="GE27" s="30"/>
      <c r="GS27" s="30"/>
      <c r="GZ27" s="30"/>
      <c r="HG27" s="131"/>
      <c r="HN27" s="30"/>
      <c r="HU27" s="30"/>
    </row>
    <row r="28" spans="1:229" hidden="1" outlineLevel="1" x14ac:dyDescent="0.2">
      <c r="A28" s="101" t="s">
        <v>207</v>
      </c>
      <c r="B28" s="101"/>
      <c r="C28" s="101"/>
      <c r="D28" s="101"/>
      <c r="CK28" s="122"/>
      <c r="CL28" s="114"/>
      <c r="CM28" s="114"/>
      <c r="CN28" s="114"/>
      <c r="CO28" s="114"/>
      <c r="CP28" s="114"/>
      <c r="CQ28" s="114"/>
      <c r="CR28" s="114"/>
      <c r="CY28" s="30"/>
      <c r="DF28" s="131"/>
      <c r="EH28" s="131"/>
      <c r="EO28" s="30"/>
      <c r="FQ28" s="131"/>
      <c r="FX28" s="30"/>
      <c r="GE28" s="30"/>
      <c r="GS28" s="30"/>
      <c r="GZ28" s="30"/>
      <c r="HG28" s="131"/>
      <c r="HN28" s="30"/>
      <c r="HU28" s="30"/>
    </row>
    <row r="29" spans="1:229" ht="25.5" hidden="1" outlineLevel="1" x14ac:dyDescent="0.2">
      <c r="A29" s="101" t="s">
        <v>209</v>
      </c>
      <c r="B29" s="101"/>
      <c r="C29" s="101"/>
      <c r="D29" s="101"/>
      <c r="CK29" s="122"/>
      <c r="CL29" s="114"/>
      <c r="CM29" s="114"/>
      <c r="CN29" s="114"/>
      <c r="CO29" s="114"/>
      <c r="CP29" s="114"/>
      <c r="CQ29" s="114"/>
      <c r="CR29" s="114"/>
      <c r="CY29" s="30"/>
      <c r="DF29" s="131"/>
      <c r="EH29" s="131"/>
      <c r="EO29" s="30"/>
      <c r="FQ29" s="131"/>
      <c r="FX29" s="30"/>
      <c r="GE29" s="30"/>
      <c r="GS29" s="30"/>
      <c r="GZ29" s="30"/>
      <c r="HG29" s="131"/>
      <c r="HN29" s="30"/>
      <c r="HU29" s="30"/>
    </row>
    <row r="30" spans="1:229" hidden="1" outlineLevel="1" x14ac:dyDescent="0.2">
      <c r="A30" s="101" t="s">
        <v>330</v>
      </c>
      <c r="B30" s="101"/>
      <c r="C30" s="101"/>
      <c r="D30" s="101"/>
      <c r="AU30" t="s">
        <v>411</v>
      </c>
      <c r="BB30" t="s">
        <v>411</v>
      </c>
      <c r="BI30" t="s">
        <v>411</v>
      </c>
      <c r="BP30" t="s">
        <v>411</v>
      </c>
      <c r="CK30" s="122"/>
      <c r="CL30" s="114"/>
      <c r="CM30" s="114"/>
      <c r="CN30" s="114"/>
      <c r="CO30" s="114"/>
      <c r="CP30" s="114"/>
      <c r="CQ30" s="114"/>
      <c r="CR30" s="114"/>
      <c r="CY30" s="30"/>
      <c r="DF30" s="131"/>
      <c r="EH30" s="131"/>
      <c r="EO30" s="30"/>
      <c r="FQ30" s="131"/>
      <c r="FX30" s="30"/>
      <c r="GE30" s="30"/>
      <c r="GS30" s="30"/>
      <c r="GZ30" s="30"/>
      <c r="HG30" s="131"/>
      <c r="HN30" s="30"/>
      <c r="HO30" s="30"/>
    </row>
    <row r="31" spans="1:229" hidden="1" outlineLevel="1" x14ac:dyDescent="0.2">
      <c r="A31" s="101" t="s">
        <v>260</v>
      </c>
      <c r="B31" s="101"/>
      <c r="C31" s="101"/>
      <c r="D31" s="101"/>
      <c r="CK31" s="122"/>
      <c r="CL31" s="114"/>
      <c r="CM31" s="114"/>
      <c r="CN31" s="114"/>
      <c r="CO31" s="114"/>
      <c r="CP31" s="114"/>
      <c r="CQ31" s="114"/>
      <c r="CR31" s="122"/>
      <c r="CY31" s="30"/>
      <c r="DF31" s="131"/>
      <c r="EH31" s="131"/>
      <c r="EO31" s="30"/>
      <c r="FQ31" s="131"/>
      <c r="FX31" s="30"/>
      <c r="GE31" s="30"/>
      <c r="GS31" s="30"/>
      <c r="GZ31" s="30"/>
      <c r="HG31" s="131"/>
      <c r="HN31" s="30"/>
      <c r="HO31" s="30"/>
    </row>
    <row r="32" spans="1:229" hidden="1" outlineLevel="1" x14ac:dyDescent="0.2">
      <c r="A32" s="101" t="s">
        <v>262</v>
      </c>
      <c r="B32" s="101"/>
      <c r="C32" s="101"/>
      <c r="D32" s="101"/>
      <c r="CK32" s="122"/>
      <c r="CL32" s="114"/>
      <c r="CM32" s="114"/>
      <c r="CN32" s="114"/>
      <c r="CO32" s="114"/>
      <c r="CP32" s="114"/>
      <c r="CQ32" s="114"/>
      <c r="CR32" s="121"/>
      <c r="DF32" s="131"/>
      <c r="EH32" s="131"/>
      <c r="EO32" s="30"/>
      <c r="FQ32" s="131"/>
      <c r="FX32" s="30"/>
      <c r="GE32" s="30"/>
      <c r="GS32" s="30"/>
      <c r="GZ32" s="30"/>
      <c r="HG32" s="131"/>
      <c r="HN32" s="30"/>
      <c r="HO32" s="30"/>
    </row>
    <row r="33" spans="1:223" collapsed="1" x14ac:dyDescent="0.2">
      <c r="A33" s="106" t="s">
        <v>353</v>
      </c>
      <c r="B33" s="138">
        <v>41077</v>
      </c>
      <c r="C33" s="138">
        <v>41083</v>
      </c>
      <c r="D33" s="106">
        <v>1</v>
      </c>
      <c r="CY33" s="163" t="s">
        <v>461</v>
      </c>
      <c r="DF33" s="132"/>
      <c r="EH33" s="131"/>
      <c r="EO33" s="30"/>
      <c r="FQ33" s="131"/>
      <c r="FX33" s="30"/>
      <c r="GE33" s="30"/>
      <c r="GS33" s="30"/>
      <c r="GZ33" s="30"/>
      <c r="HG33" s="131"/>
      <c r="HN33" s="30"/>
      <c r="HO33" s="30"/>
    </row>
    <row r="34" spans="1:223" ht="25.5" hidden="1" outlineLevel="1" x14ac:dyDescent="0.2">
      <c r="A34" s="100" t="s">
        <v>272</v>
      </c>
      <c r="B34" s="100"/>
      <c r="C34" s="100"/>
      <c r="D34" s="100"/>
      <c r="CY34" s="118"/>
      <c r="DF34" s="132"/>
      <c r="EH34" s="131"/>
      <c r="EO34" s="30"/>
      <c r="FQ34" s="131"/>
      <c r="FX34" s="30"/>
      <c r="GE34" s="30"/>
      <c r="GS34" s="30"/>
      <c r="GZ34" s="30"/>
      <c r="HG34" s="131"/>
      <c r="HN34" s="30"/>
      <c r="HO34" s="30"/>
    </row>
    <row r="35" spans="1:223" hidden="1" outlineLevel="1" x14ac:dyDescent="0.2">
      <c r="A35" s="100" t="s">
        <v>273</v>
      </c>
      <c r="B35" s="100"/>
      <c r="C35" s="100"/>
      <c r="D35" s="100"/>
      <c r="CY35" s="118"/>
      <c r="DF35" s="132"/>
      <c r="EH35" s="131"/>
      <c r="EO35" s="30"/>
      <c r="FQ35" s="131"/>
      <c r="FX35" s="30"/>
      <c r="GE35" s="30"/>
      <c r="GS35" s="30"/>
      <c r="GZ35" s="30"/>
      <c r="HG35" s="131"/>
      <c r="HN35" s="30"/>
      <c r="HO35" s="30"/>
    </row>
    <row r="36" spans="1:223" collapsed="1" x14ac:dyDescent="0.2">
      <c r="A36" s="106" t="s">
        <v>343</v>
      </c>
      <c r="B36" s="138">
        <v>41084</v>
      </c>
      <c r="C36" s="138">
        <v>41090</v>
      </c>
      <c r="D36" s="106">
        <v>1</v>
      </c>
      <c r="BP36" t="s">
        <v>411</v>
      </c>
      <c r="CK36" t="s">
        <v>411</v>
      </c>
      <c r="CR36" t="s">
        <v>411</v>
      </c>
      <c r="CY36" s="120" t="s">
        <v>411</v>
      </c>
      <c r="CZ36" s="114"/>
      <c r="DA36" s="114"/>
      <c r="DB36" s="114"/>
      <c r="DC36" s="114"/>
      <c r="DD36" s="114"/>
      <c r="DE36" s="114"/>
      <c r="DF36" s="133"/>
      <c r="DM36" s="119"/>
      <c r="EH36" s="131"/>
      <c r="EO36" s="30"/>
      <c r="FQ36" s="131"/>
      <c r="FX36" s="30"/>
      <c r="GE36" s="30"/>
      <c r="GS36" s="30"/>
      <c r="GZ36" s="30"/>
      <c r="HG36" s="131"/>
      <c r="HN36" s="30"/>
      <c r="HO36" s="30"/>
    </row>
    <row r="37" spans="1:223" hidden="1" outlineLevel="1" x14ac:dyDescent="0.2">
      <c r="A37" s="101" t="s">
        <v>62</v>
      </c>
      <c r="B37" s="101"/>
      <c r="C37" s="101"/>
      <c r="D37" s="101"/>
      <c r="CY37" s="118"/>
      <c r="CZ37" s="114"/>
      <c r="DA37" s="114"/>
      <c r="DB37" s="114"/>
      <c r="DC37" s="114"/>
      <c r="DD37" s="114"/>
      <c r="DE37" s="114"/>
      <c r="DF37" s="121"/>
      <c r="DM37" s="119"/>
      <c r="EH37" s="131"/>
      <c r="EO37" s="30"/>
      <c r="FQ37" s="131"/>
      <c r="FX37" s="30"/>
      <c r="FY37" s="30"/>
      <c r="GE37" s="30"/>
      <c r="GS37" s="30"/>
      <c r="GZ37" s="30"/>
      <c r="HG37" s="131"/>
      <c r="HN37" s="30"/>
      <c r="HO37" s="30"/>
    </row>
    <row r="38" spans="1:223" hidden="1" outlineLevel="1" x14ac:dyDescent="0.2">
      <c r="A38" s="101" t="s">
        <v>63</v>
      </c>
      <c r="B38" s="101"/>
      <c r="C38" s="101"/>
      <c r="D38" s="101"/>
      <c r="CY38" s="118"/>
      <c r="CZ38" s="114"/>
      <c r="DA38" s="114"/>
      <c r="DB38" s="114"/>
      <c r="DC38" s="114"/>
      <c r="DD38" s="114"/>
      <c r="DE38" s="114"/>
      <c r="DF38" s="121"/>
      <c r="DM38" s="119"/>
      <c r="EH38" s="131"/>
      <c r="EO38" s="30"/>
      <c r="FQ38" s="131"/>
      <c r="FX38" s="30"/>
      <c r="FY38" s="30"/>
      <c r="GE38" s="30"/>
      <c r="GS38" s="30"/>
      <c r="GZ38" s="30"/>
      <c r="HG38" s="131"/>
      <c r="HN38" s="30"/>
      <c r="HO38" s="30"/>
    </row>
    <row r="39" spans="1:223" hidden="1" outlineLevel="1" x14ac:dyDescent="0.2">
      <c r="A39" s="101" t="s">
        <v>64</v>
      </c>
      <c r="B39" s="101"/>
      <c r="C39" s="101"/>
      <c r="D39" s="101"/>
      <c r="CY39" s="118"/>
      <c r="CZ39" s="114"/>
      <c r="DA39" s="114"/>
      <c r="DB39" s="114"/>
      <c r="DC39" s="114"/>
      <c r="DD39" s="114"/>
      <c r="DE39" s="114"/>
      <c r="DF39" s="121"/>
      <c r="DM39" s="119"/>
      <c r="EH39" s="131"/>
      <c r="EO39" s="30"/>
      <c r="FQ39" s="131"/>
      <c r="FX39" s="30"/>
      <c r="FY39" s="30"/>
      <c r="GE39" s="30"/>
      <c r="GS39" s="30"/>
      <c r="GZ39" s="30"/>
      <c r="HG39" s="131"/>
      <c r="HN39" s="30"/>
      <c r="HO39" s="30"/>
    </row>
    <row r="40" spans="1:223" collapsed="1" x14ac:dyDescent="0.2">
      <c r="A40" s="106" t="s">
        <v>352</v>
      </c>
      <c r="B40" s="138">
        <v>41084</v>
      </c>
      <c r="C40" s="138">
        <v>41090</v>
      </c>
      <c r="D40" s="106">
        <v>1</v>
      </c>
      <c r="CY40" s="117"/>
      <c r="DF40" s="131"/>
      <c r="DM40" s="119"/>
      <c r="EH40" s="131"/>
      <c r="EO40" s="30"/>
      <c r="FQ40" s="131"/>
      <c r="FX40" s="30"/>
      <c r="GE40" s="30"/>
      <c r="GS40" s="30"/>
      <c r="GZ40" s="30"/>
      <c r="HG40" s="131"/>
      <c r="HN40" s="30"/>
      <c r="HO40" s="30"/>
    </row>
    <row r="41" spans="1:223" ht="25.5" hidden="1" outlineLevel="1" x14ac:dyDescent="0.2">
      <c r="A41" s="100" t="s">
        <v>323</v>
      </c>
      <c r="B41" s="100"/>
      <c r="C41" s="100"/>
      <c r="D41" s="100"/>
      <c r="CY41" s="115"/>
      <c r="DF41" s="131"/>
      <c r="DM41" s="119"/>
      <c r="EH41" s="131"/>
      <c r="EO41" s="30"/>
      <c r="FQ41" s="131"/>
      <c r="FX41" s="30"/>
      <c r="GE41" s="30"/>
      <c r="GS41" s="30"/>
      <c r="GZ41" s="30"/>
      <c r="HG41" s="131"/>
      <c r="HN41" s="30"/>
      <c r="HO41" s="30"/>
    </row>
    <row r="42" spans="1:223" collapsed="1" x14ac:dyDescent="0.2">
      <c r="A42" s="106" t="s">
        <v>351</v>
      </c>
      <c r="B42" s="138">
        <v>41091</v>
      </c>
      <c r="C42" s="138">
        <v>41104</v>
      </c>
      <c r="D42" s="106">
        <v>2</v>
      </c>
      <c r="CY42" s="120"/>
      <c r="CZ42" s="114"/>
      <c r="DA42" s="114"/>
      <c r="DB42" s="114"/>
      <c r="DC42" s="114"/>
      <c r="DD42" s="114"/>
      <c r="DE42" s="114"/>
      <c r="DF42" s="131"/>
      <c r="DM42" s="118"/>
      <c r="DN42" s="114"/>
      <c r="DO42" s="114"/>
      <c r="DP42" s="114"/>
      <c r="DQ42" s="114"/>
      <c r="DR42" s="114"/>
      <c r="DS42" s="114"/>
      <c r="DT42" s="114"/>
      <c r="EA42" s="119"/>
      <c r="EH42" s="131"/>
      <c r="EO42" s="30"/>
      <c r="FQ42" s="131"/>
      <c r="FX42" s="30"/>
      <c r="GE42" s="30"/>
      <c r="GS42" s="30"/>
      <c r="GZ42" s="30"/>
      <c r="HG42" s="131"/>
      <c r="HN42" s="30"/>
      <c r="HO42" s="30"/>
    </row>
    <row r="43" spans="1:223" hidden="1" outlineLevel="1" x14ac:dyDescent="0.2">
      <c r="A43" s="107" t="s">
        <v>274</v>
      </c>
      <c r="B43" s="107"/>
      <c r="C43" s="107"/>
      <c r="D43" s="107"/>
      <c r="CY43" s="120"/>
      <c r="CZ43" s="114"/>
      <c r="DA43" s="114"/>
      <c r="DB43" s="114"/>
      <c r="DC43" s="114"/>
      <c r="DD43" s="114"/>
      <c r="DE43" s="114"/>
      <c r="DF43" s="131"/>
      <c r="DM43" s="118"/>
      <c r="DN43" s="114"/>
      <c r="DO43" s="114"/>
      <c r="DP43" s="114"/>
      <c r="DQ43" s="114"/>
      <c r="DR43" s="114"/>
      <c r="DS43" s="114"/>
      <c r="DT43" s="114"/>
      <c r="EA43" s="119"/>
      <c r="EH43" s="131"/>
      <c r="EO43" s="30"/>
      <c r="FQ43" s="131"/>
      <c r="FX43" s="30"/>
      <c r="GE43" s="30"/>
      <c r="GS43" s="30"/>
      <c r="HG43" s="131"/>
      <c r="HN43" s="30"/>
      <c r="HO43" s="30"/>
    </row>
    <row r="44" spans="1:223" hidden="1" outlineLevel="1" x14ac:dyDescent="0.2">
      <c r="A44" s="107" t="s">
        <v>275</v>
      </c>
      <c r="B44" s="107"/>
      <c r="C44" s="107"/>
      <c r="D44" s="107"/>
      <c r="CY44" s="120"/>
      <c r="CZ44" s="114"/>
      <c r="DA44" s="114"/>
      <c r="DB44" s="114"/>
      <c r="DC44" s="114"/>
      <c r="DD44" s="114"/>
      <c r="DE44" s="114"/>
      <c r="DF44" s="131"/>
      <c r="DM44" s="118"/>
      <c r="DN44" s="114"/>
      <c r="DO44" s="114"/>
      <c r="DP44" s="114"/>
      <c r="DQ44" s="114"/>
      <c r="DR44" s="114"/>
      <c r="DS44" s="114"/>
      <c r="DT44" s="114"/>
      <c r="EA44" s="119"/>
      <c r="EH44" s="131"/>
      <c r="EO44" s="30"/>
      <c r="FQ44" s="131"/>
      <c r="FX44" s="30"/>
      <c r="GE44" s="30"/>
      <c r="GS44" s="30"/>
      <c r="HG44" s="131"/>
      <c r="HN44" s="30"/>
      <c r="HO44" s="30"/>
    </row>
    <row r="45" spans="1:223" hidden="1" outlineLevel="1" x14ac:dyDescent="0.2">
      <c r="A45" s="107" t="s">
        <v>322</v>
      </c>
      <c r="B45" s="107"/>
      <c r="C45" s="107"/>
      <c r="D45" s="107"/>
      <c r="CY45" s="120"/>
      <c r="CZ45" s="114"/>
      <c r="DA45" s="114"/>
      <c r="DB45" s="114"/>
      <c r="DC45" s="114"/>
      <c r="DD45" s="114"/>
      <c r="DE45" s="114"/>
      <c r="DF45" s="131"/>
      <c r="DM45" s="118"/>
      <c r="DN45" s="114"/>
      <c r="DO45" s="114"/>
      <c r="DP45" s="114"/>
      <c r="DQ45" s="114"/>
      <c r="DR45" s="114"/>
      <c r="DS45" s="114"/>
      <c r="DT45" s="114"/>
      <c r="EA45" s="119"/>
      <c r="EH45" s="131"/>
      <c r="EO45" s="30"/>
      <c r="FQ45" s="131"/>
      <c r="FX45" s="30"/>
      <c r="GE45" s="30"/>
      <c r="GS45" s="30"/>
      <c r="HG45" s="131"/>
      <c r="HN45" s="30"/>
      <c r="HO45" s="30"/>
    </row>
    <row r="46" spans="1:223" hidden="1" outlineLevel="1" x14ac:dyDescent="0.2">
      <c r="A46" s="107" t="s">
        <v>276</v>
      </c>
      <c r="B46" s="107"/>
      <c r="C46" s="107"/>
      <c r="D46" s="107"/>
      <c r="CY46" s="120"/>
      <c r="CZ46" s="114"/>
      <c r="DA46" s="114"/>
      <c r="DB46" s="114"/>
      <c r="DC46" s="114"/>
      <c r="DD46" s="114"/>
      <c r="DE46" s="114"/>
      <c r="DF46" s="131"/>
      <c r="DM46" s="118"/>
      <c r="DN46" s="114"/>
      <c r="DO46" s="114"/>
      <c r="DP46" s="114"/>
      <c r="DQ46" s="114"/>
      <c r="DR46" s="114"/>
      <c r="DS46" s="114"/>
      <c r="DT46" s="114"/>
      <c r="EA46" s="119"/>
      <c r="EH46" s="131"/>
      <c r="EO46" s="30"/>
      <c r="FQ46" s="131"/>
      <c r="FX46" s="30"/>
      <c r="GE46" s="30"/>
      <c r="GS46" s="30"/>
      <c r="HG46" s="131"/>
      <c r="HN46" s="30"/>
      <c r="HO46" s="30"/>
    </row>
    <row r="47" spans="1:223" hidden="1" outlineLevel="1" x14ac:dyDescent="0.2">
      <c r="A47" s="107" t="s">
        <v>306</v>
      </c>
      <c r="B47" s="107"/>
      <c r="C47" s="107"/>
      <c r="D47" s="107"/>
      <c r="CY47" s="120"/>
      <c r="CZ47" s="114"/>
      <c r="DA47" s="114"/>
      <c r="DB47" s="114"/>
      <c r="DC47" s="114"/>
      <c r="DD47" s="114"/>
      <c r="DE47" s="114"/>
      <c r="DF47" s="131"/>
      <c r="DM47" s="118"/>
      <c r="DN47" s="114"/>
      <c r="DO47" s="114"/>
      <c r="DP47" s="114"/>
      <c r="DQ47" s="114"/>
      <c r="DR47" s="114"/>
      <c r="DS47" s="114"/>
      <c r="DT47" s="114"/>
      <c r="EA47" s="119"/>
      <c r="EH47" s="131"/>
      <c r="EO47" s="30"/>
      <c r="FQ47" s="131"/>
      <c r="FX47" s="30"/>
      <c r="GE47" s="30"/>
      <c r="GS47" s="30"/>
      <c r="HG47" s="131"/>
      <c r="HN47" s="30"/>
      <c r="HO47" s="30"/>
    </row>
    <row r="48" spans="1:223" collapsed="1" x14ac:dyDescent="0.2">
      <c r="A48" s="106" t="s">
        <v>340</v>
      </c>
      <c r="B48" s="140">
        <v>41107</v>
      </c>
      <c r="C48" s="140">
        <v>41120</v>
      </c>
      <c r="D48" s="125">
        <v>2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8"/>
      <c r="CZ48" s="129"/>
      <c r="DA48" s="129"/>
      <c r="DB48" s="129"/>
      <c r="DC48" s="129"/>
      <c r="DD48" s="129"/>
      <c r="DE48" s="129"/>
      <c r="DF48" s="134"/>
      <c r="DG48" s="115"/>
      <c r="DH48" s="115"/>
      <c r="DI48" s="115"/>
      <c r="DJ48" s="115"/>
      <c r="DK48" s="115"/>
      <c r="DL48" s="115"/>
      <c r="DM48" s="76"/>
      <c r="EA48" s="119"/>
      <c r="EH48" s="131"/>
      <c r="EO48" s="30"/>
      <c r="FQ48" s="131"/>
      <c r="FX48" s="30"/>
      <c r="GE48" s="30"/>
      <c r="GS48" s="30"/>
      <c r="HG48" s="131"/>
      <c r="HN48" s="30"/>
      <c r="HO48" s="30"/>
    </row>
    <row r="49" spans="1:223" ht="38.25" hidden="1" outlineLevel="1" x14ac:dyDescent="0.2">
      <c r="A49" s="100" t="s">
        <v>336</v>
      </c>
      <c r="B49" s="100"/>
      <c r="C49" s="100"/>
      <c r="D49" s="100"/>
      <c r="CY49" s="117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EA49" s="119"/>
      <c r="EH49" s="131"/>
      <c r="EO49" s="30"/>
      <c r="FQ49" s="131"/>
      <c r="FX49" s="30"/>
      <c r="GE49" s="30"/>
      <c r="GS49" s="30"/>
      <c r="HG49" s="131"/>
      <c r="HN49" s="30"/>
      <c r="HO49" s="30"/>
    </row>
    <row r="50" spans="1:223" ht="38.25" hidden="1" outlineLevel="1" x14ac:dyDescent="0.2">
      <c r="A50" s="100" t="s">
        <v>337</v>
      </c>
      <c r="B50" s="100"/>
      <c r="C50" s="100"/>
      <c r="D50" s="100"/>
      <c r="CY50" s="117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EA50" s="119"/>
      <c r="EH50" s="131"/>
      <c r="EO50" s="30"/>
      <c r="FQ50" s="131"/>
      <c r="FX50" s="30"/>
      <c r="GE50" s="30"/>
      <c r="GS50" s="30"/>
      <c r="HG50" s="131"/>
      <c r="HN50" s="30"/>
      <c r="HO50" s="30"/>
    </row>
    <row r="51" spans="1:223" ht="25.5" hidden="1" outlineLevel="1" x14ac:dyDescent="0.2">
      <c r="A51" s="101" t="s">
        <v>339</v>
      </c>
      <c r="B51" s="101"/>
      <c r="C51" s="101"/>
      <c r="D51" s="101"/>
      <c r="CY51" s="117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EA51" s="119"/>
      <c r="EH51" s="131"/>
      <c r="EO51" s="30"/>
      <c r="FQ51" s="131"/>
      <c r="FX51" s="30"/>
      <c r="GE51" s="30"/>
      <c r="GS51" s="30"/>
      <c r="HG51" s="131"/>
      <c r="HN51" s="30"/>
      <c r="HO51" s="30"/>
    </row>
    <row r="52" spans="1:223" hidden="1" outlineLevel="1" x14ac:dyDescent="0.2">
      <c r="A52" s="100" t="s">
        <v>324</v>
      </c>
      <c r="B52" s="100"/>
      <c r="C52" s="100"/>
      <c r="D52" s="100"/>
      <c r="CY52" s="117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EA52" s="119"/>
      <c r="EH52" s="131"/>
      <c r="EO52" s="30"/>
      <c r="FQ52" s="131"/>
      <c r="FX52" s="30"/>
      <c r="GE52" s="30"/>
      <c r="GS52" s="30"/>
      <c r="HG52" s="131"/>
      <c r="HN52" s="30"/>
      <c r="HO52" s="30"/>
    </row>
    <row r="53" spans="1:223" ht="25.5" hidden="1" outlineLevel="1" x14ac:dyDescent="0.2">
      <c r="A53" s="101" t="s">
        <v>332</v>
      </c>
      <c r="B53" s="101"/>
      <c r="C53" s="101"/>
      <c r="D53" s="101"/>
      <c r="CY53" s="117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EA53" s="119"/>
      <c r="EH53" s="131"/>
      <c r="EO53" s="30"/>
      <c r="FQ53" s="131"/>
      <c r="FX53" s="30"/>
      <c r="GE53" s="30"/>
      <c r="GS53" s="30"/>
      <c r="HG53" s="131"/>
      <c r="HN53" s="30"/>
      <c r="HO53" s="30"/>
    </row>
    <row r="54" spans="1:223" collapsed="1" x14ac:dyDescent="0.2">
      <c r="A54" s="106" t="s">
        <v>350</v>
      </c>
      <c r="B54" s="138">
        <v>41105</v>
      </c>
      <c r="C54" s="138">
        <v>41111</v>
      </c>
      <c r="D54" s="106">
        <v>1</v>
      </c>
      <c r="EA54" s="118"/>
      <c r="EH54" s="132"/>
      <c r="EO54" s="30"/>
      <c r="FQ54" s="131"/>
      <c r="FX54" s="30"/>
      <c r="GE54" s="30"/>
      <c r="GS54" s="30"/>
      <c r="GZ54" s="30"/>
      <c r="HA54" s="30"/>
      <c r="HB54" s="30"/>
      <c r="HC54" s="30"/>
      <c r="HD54" s="30"/>
      <c r="HE54" s="30"/>
      <c r="HF54" s="30"/>
      <c r="HG54" s="131"/>
      <c r="HN54" s="30"/>
      <c r="HO54" s="30"/>
    </row>
    <row r="55" spans="1:223" x14ac:dyDescent="0.2">
      <c r="A55" s="106" t="s">
        <v>344</v>
      </c>
      <c r="B55" s="140">
        <v>41112</v>
      </c>
      <c r="C55" s="140">
        <v>41118</v>
      </c>
      <c r="D55" s="125">
        <v>1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I55" s="126"/>
      <c r="BJ55" s="126"/>
      <c r="BK55" s="126"/>
      <c r="BL55" s="126"/>
      <c r="BM55" s="126"/>
      <c r="BN55" s="126"/>
      <c r="BO55" s="126"/>
      <c r="BP55" s="126"/>
      <c r="BQ55" s="126"/>
      <c r="BR55" s="126"/>
      <c r="BS55" s="126"/>
      <c r="BT55" s="126"/>
      <c r="BU55" s="126"/>
      <c r="BV55" s="126"/>
      <c r="BW55" s="126"/>
      <c r="BX55" s="126"/>
      <c r="BY55" s="126"/>
      <c r="BZ55" s="126"/>
      <c r="CA55" s="126"/>
      <c r="CB55" s="126"/>
      <c r="CC55" s="126"/>
      <c r="CD55" s="126"/>
      <c r="CK55" s="126"/>
      <c r="CL55" s="126"/>
      <c r="CM55" s="126"/>
      <c r="CN55" s="126"/>
      <c r="CO55" s="126"/>
      <c r="CP55" s="126"/>
      <c r="CQ55" s="126"/>
      <c r="CR55" s="126"/>
      <c r="CS55" s="126"/>
      <c r="CT55" s="126"/>
      <c r="CU55" s="126"/>
      <c r="CV55" s="126"/>
      <c r="CW55" s="126"/>
      <c r="CX55" s="126"/>
      <c r="CY55" s="126"/>
      <c r="CZ55" s="126"/>
      <c r="DA55" s="126"/>
      <c r="DB55" s="126"/>
      <c r="DC55" s="126"/>
      <c r="DD55" s="126"/>
      <c r="DE55" s="126"/>
      <c r="DF55" s="126"/>
      <c r="DG55" s="126"/>
      <c r="DH55" s="126"/>
      <c r="DI55" s="126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126"/>
      <c r="DV55" s="126"/>
      <c r="DW55" s="126"/>
      <c r="DX55" s="126"/>
      <c r="DY55" s="126"/>
      <c r="DZ55" s="126"/>
      <c r="EA55" s="126"/>
      <c r="EB55" s="126"/>
      <c r="EC55" s="126"/>
      <c r="ED55" s="126"/>
      <c r="EE55" s="126"/>
      <c r="EF55" s="126"/>
      <c r="EG55" s="126"/>
      <c r="EH55" s="146"/>
      <c r="EO55" s="119"/>
      <c r="FQ55" s="131"/>
      <c r="FX55" s="30"/>
      <c r="GE55" s="30"/>
      <c r="GS55" s="30"/>
      <c r="GZ55" s="30"/>
      <c r="HA55" s="30"/>
      <c r="HB55" s="30"/>
      <c r="HC55" s="30"/>
      <c r="HD55" s="30"/>
      <c r="HE55" s="30"/>
      <c r="HF55" s="30"/>
      <c r="HG55" s="131"/>
      <c r="HN55" s="30"/>
      <c r="HO55" s="30"/>
    </row>
    <row r="56" spans="1:223" ht="25.5" hidden="1" outlineLevel="1" x14ac:dyDescent="0.2">
      <c r="A56" s="101" t="s">
        <v>65</v>
      </c>
      <c r="B56" s="101"/>
      <c r="C56" s="101"/>
      <c r="D56" s="101"/>
      <c r="EO56" s="119"/>
      <c r="FQ56" s="131"/>
      <c r="FX56" s="30"/>
      <c r="GE56" s="30"/>
      <c r="GS56" s="30"/>
      <c r="GZ56" s="30"/>
      <c r="HA56" s="30"/>
      <c r="HB56" s="30"/>
      <c r="HC56" s="30"/>
      <c r="HD56" s="30"/>
      <c r="HE56" s="30"/>
      <c r="HF56" s="30"/>
      <c r="HG56" s="131"/>
      <c r="HN56" s="30"/>
      <c r="HO56" s="30"/>
    </row>
    <row r="57" spans="1:223" collapsed="1" x14ac:dyDescent="0.2">
      <c r="A57" s="106" t="s">
        <v>359</v>
      </c>
      <c r="B57" s="141">
        <v>41119</v>
      </c>
      <c r="C57" s="141">
        <v>41125</v>
      </c>
      <c r="D57" s="108">
        <v>1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CK57" s="30"/>
      <c r="CL57" s="30"/>
      <c r="CM57" s="30"/>
      <c r="CN57" s="30"/>
      <c r="CO57" s="30"/>
      <c r="CP57" s="30"/>
      <c r="CQ57" s="30"/>
      <c r="CR57" s="30"/>
      <c r="CS57" s="30"/>
      <c r="CT57" s="30"/>
      <c r="CU57" s="30"/>
      <c r="CV57" s="30"/>
      <c r="CW57" s="30"/>
      <c r="CX57" s="30"/>
      <c r="CY57" s="30"/>
      <c r="CZ57" s="30"/>
      <c r="DA57" s="30"/>
      <c r="DB57" s="30"/>
      <c r="DC57" s="30"/>
      <c r="DD57" s="30"/>
      <c r="DE57" s="30"/>
      <c r="DF57" s="30"/>
      <c r="DG57" s="30"/>
      <c r="DH57" s="30"/>
      <c r="DI57" s="30"/>
      <c r="DJ57" s="30"/>
      <c r="DK57" s="30"/>
      <c r="DL57" s="30"/>
      <c r="DM57" s="30"/>
      <c r="DN57" s="30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30"/>
      <c r="EB57" s="126"/>
      <c r="EC57" s="126"/>
      <c r="ED57" s="126"/>
      <c r="EE57" s="126"/>
      <c r="EF57" s="126"/>
      <c r="EG57" s="126"/>
      <c r="EH57" s="30"/>
      <c r="EI57" s="30"/>
      <c r="EJ57" s="30"/>
      <c r="EK57" s="30"/>
      <c r="EL57" s="30"/>
      <c r="EM57" s="30"/>
      <c r="EN57" s="30"/>
      <c r="EO57" s="133"/>
      <c r="EV57" s="119"/>
      <c r="FQ57" s="131"/>
      <c r="FX57" s="30"/>
      <c r="GE57" s="30"/>
      <c r="GS57" s="30"/>
      <c r="GZ57" s="30"/>
      <c r="HA57" s="30"/>
      <c r="HB57" s="30"/>
      <c r="HC57" s="30"/>
      <c r="HD57" s="30"/>
      <c r="HE57" s="30"/>
      <c r="HF57" s="30"/>
      <c r="HG57" s="131"/>
      <c r="HN57" s="30"/>
      <c r="HO57" s="30"/>
    </row>
    <row r="58" spans="1:223" hidden="1" outlineLevel="1" x14ac:dyDescent="0.2">
      <c r="A58" s="101" t="s">
        <v>248</v>
      </c>
      <c r="B58" s="148"/>
      <c r="C58" s="148"/>
      <c r="D58" s="148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CK58" s="30"/>
      <c r="CL58" s="30"/>
      <c r="CM58" s="30"/>
      <c r="CN58" s="30"/>
      <c r="CO58" s="30"/>
      <c r="CP58" s="30"/>
      <c r="CQ58" s="30"/>
      <c r="CR58" s="30"/>
      <c r="CS58" s="30"/>
      <c r="CT58" s="30"/>
      <c r="CU58" s="30"/>
      <c r="CV58" s="30"/>
      <c r="CW58" s="30"/>
      <c r="CX58" s="30"/>
      <c r="CY58" s="30"/>
      <c r="CZ58" s="30"/>
      <c r="DA58" s="30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EO58" s="118"/>
      <c r="EV58" s="119"/>
      <c r="FQ58" s="131"/>
      <c r="FX58" s="30"/>
      <c r="GE58" s="30"/>
      <c r="GS58" s="30"/>
      <c r="GZ58" s="30"/>
      <c r="HA58" s="30"/>
      <c r="HB58" s="30"/>
      <c r="HC58" s="30"/>
      <c r="HD58" s="30"/>
      <c r="HE58" s="30"/>
      <c r="HF58" s="30"/>
      <c r="HG58" s="131"/>
      <c r="HN58" s="30"/>
      <c r="HO58" s="30"/>
    </row>
    <row r="59" spans="1:223" hidden="1" outlineLevel="1" x14ac:dyDescent="0.2">
      <c r="A59" s="101" t="s">
        <v>249</v>
      </c>
      <c r="B59" s="148"/>
      <c r="C59" s="148"/>
      <c r="D59" s="148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EO59" s="118"/>
      <c r="EV59" s="119"/>
      <c r="FQ59" s="131"/>
      <c r="FX59" s="30"/>
      <c r="GE59" s="30"/>
      <c r="GS59" s="30"/>
      <c r="GZ59" s="30"/>
      <c r="HA59" s="30"/>
      <c r="HB59" s="30"/>
      <c r="HC59" s="30"/>
      <c r="HD59" s="30"/>
      <c r="HE59" s="30"/>
      <c r="HF59" s="30"/>
      <c r="HG59" s="131"/>
      <c r="HN59" s="30"/>
      <c r="HO59" s="30"/>
    </row>
    <row r="60" spans="1:223" collapsed="1" x14ac:dyDescent="0.2">
      <c r="A60" s="108" t="s">
        <v>360</v>
      </c>
      <c r="B60" s="141">
        <v>41126</v>
      </c>
      <c r="C60" s="141">
        <v>41132</v>
      </c>
      <c r="D60" s="108">
        <v>1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V60" s="118"/>
      <c r="EW60" s="114"/>
      <c r="EX60" s="114"/>
      <c r="EY60" s="114"/>
      <c r="EZ60" s="119"/>
      <c r="FC60" s="119"/>
      <c r="FQ60" s="131"/>
      <c r="FX60" s="30"/>
      <c r="GE60" s="30"/>
      <c r="GS60" s="30"/>
      <c r="GZ60" s="30"/>
      <c r="HA60" s="30"/>
      <c r="HB60" s="30"/>
      <c r="HC60" s="30"/>
      <c r="HD60" s="30"/>
      <c r="HE60" s="30"/>
      <c r="HF60" s="30"/>
      <c r="HG60" s="131"/>
      <c r="HN60" s="30"/>
      <c r="HO60" s="30"/>
    </row>
    <row r="61" spans="1:223" hidden="1" outlineLevel="1" x14ac:dyDescent="0.2">
      <c r="A61" s="100" t="s">
        <v>75</v>
      </c>
      <c r="B61" s="149"/>
      <c r="C61" s="100"/>
      <c r="D61" s="100"/>
      <c r="EV61" s="118"/>
      <c r="EW61" s="114"/>
      <c r="EX61" s="114"/>
      <c r="EY61" s="114"/>
      <c r="EZ61" s="119"/>
      <c r="FC61" s="119"/>
      <c r="FQ61" s="131"/>
      <c r="FX61" s="30"/>
      <c r="GE61" s="30"/>
      <c r="GS61" s="30"/>
      <c r="GZ61" s="30"/>
      <c r="HA61" s="30"/>
      <c r="HB61" s="30"/>
      <c r="HC61" s="30"/>
      <c r="HD61" s="30"/>
      <c r="HE61" s="30"/>
      <c r="HF61" s="30"/>
      <c r="HG61" s="131"/>
      <c r="HN61" s="30"/>
      <c r="HO61" s="30"/>
    </row>
    <row r="62" spans="1:223" collapsed="1" x14ac:dyDescent="0.2">
      <c r="A62" s="106" t="s">
        <v>361</v>
      </c>
      <c r="B62" s="138">
        <v>41133</v>
      </c>
      <c r="C62" s="138">
        <v>41139</v>
      </c>
      <c r="D62" s="106">
        <v>1</v>
      </c>
      <c r="DT62" t="s">
        <v>411</v>
      </c>
      <c r="EA62" t="s">
        <v>411</v>
      </c>
      <c r="EH62" t="s">
        <v>411</v>
      </c>
      <c r="EO62" t="s">
        <v>411</v>
      </c>
      <c r="EV62" t="s">
        <v>411</v>
      </c>
      <c r="EZ62" s="118"/>
      <c r="FA62" s="114"/>
      <c r="FB62" s="114"/>
      <c r="FC62" s="118"/>
      <c r="FQ62" s="131"/>
      <c r="FX62" s="30"/>
      <c r="GE62" s="30"/>
      <c r="GS62" s="30"/>
      <c r="GZ62" s="30"/>
      <c r="HA62" s="30"/>
      <c r="HB62" s="30"/>
      <c r="HC62" s="30"/>
      <c r="HD62" s="30"/>
      <c r="HE62" s="30"/>
      <c r="HF62" s="30"/>
      <c r="HG62" s="131"/>
      <c r="HN62" s="30"/>
      <c r="HO62" s="30"/>
    </row>
    <row r="63" spans="1:223" hidden="1" outlineLevel="1" x14ac:dyDescent="0.2">
      <c r="A63" s="101" t="s">
        <v>67</v>
      </c>
      <c r="B63" s="101"/>
      <c r="C63" s="101"/>
      <c r="D63" s="101"/>
      <c r="EZ63" s="118"/>
      <c r="FA63" s="114"/>
      <c r="FB63" s="114"/>
      <c r="FC63" s="118"/>
      <c r="FQ63" s="131"/>
      <c r="FX63" s="30"/>
      <c r="GE63" s="30"/>
      <c r="GS63" s="30"/>
      <c r="GZ63" s="30"/>
      <c r="HA63" s="30"/>
      <c r="HB63" s="30"/>
      <c r="HC63" s="30"/>
      <c r="HD63" s="30"/>
      <c r="HE63" s="30"/>
      <c r="HF63" s="30"/>
      <c r="HG63" s="131"/>
      <c r="HN63" s="30"/>
      <c r="HO63" s="30"/>
    </row>
    <row r="64" spans="1:223" hidden="1" outlineLevel="1" x14ac:dyDescent="0.2">
      <c r="A64" s="101" t="s">
        <v>68</v>
      </c>
      <c r="B64" s="101"/>
      <c r="C64" s="101"/>
      <c r="D64" s="101"/>
      <c r="EZ64" s="118"/>
      <c r="FA64" s="114"/>
      <c r="FB64" s="114"/>
      <c r="FC64" s="118"/>
      <c r="FQ64" s="131"/>
      <c r="FX64" s="30"/>
      <c r="GE64" s="30"/>
      <c r="GS64" s="30"/>
      <c r="GZ64" s="30"/>
      <c r="HA64" s="30"/>
      <c r="HB64" s="30"/>
      <c r="HC64" s="30"/>
      <c r="HD64" s="30"/>
      <c r="HE64" s="30"/>
      <c r="HF64" s="30"/>
      <c r="HG64" s="131"/>
      <c r="HN64" s="30"/>
      <c r="HO64" s="30"/>
    </row>
    <row r="65" spans="1:223" ht="25.5" hidden="1" outlineLevel="1" x14ac:dyDescent="0.2">
      <c r="A65" s="101" t="s">
        <v>321</v>
      </c>
      <c r="B65" s="101"/>
      <c r="C65" s="101"/>
      <c r="D65" s="101"/>
      <c r="FC65" s="119"/>
      <c r="FQ65" s="131"/>
      <c r="FX65" s="30"/>
      <c r="GE65" s="30"/>
      <c r="GS65" s="30"/>
      <c r="GZ65" s="30"/>
      <c r="HA65" s="30"/>
      <c r="HB65" s="30"/>
      <c r="HC65" s="30"/>
      <c r="HD65" s="30"/>
      <c r="HE65" s="30"/>
      <c r="HF65" s="30"/>
      <c r="HG65" s="131"/>
      <c r="HN65" s="30"/>
      <c r="HO65" s="30"/>
    </row>
    <row r="66" spans="1:223" collapsed="1" x14ac:dyDescent="0.2">
      <c r="A66" s="106" t="s">
        <v>362</v>
      </c>
      <c r="B66" s="138">
        <v>41133</v>
      </c>
      <c r="C66" s="138">
        <v>41139</v>
      </c>
      <c r="D66" s="106">
        <v>1</v>
      </c>
      <c r="FC66" s="118"/>
      <c r="FJ66" s="119"/>
      <c r="FQ66" s="131"/>
      <c r="FX66" s="30"/>
      <c r="GE66" s="30"/>
      <c r="GS66" s="30"/>
      <c r="GZ66" s="30"/>
      <c r="HA66" s="30"/>
      <c r="HB66" s="30"/>
      <c r="HC66" s="30"/>
      <c r="HD66" s="30"/>
      <c r="HE66" s="30"/>
      <c r="HF66" s="30"/>
      <c r="HG66" s="131"/>
      <c r="HN66" s="30"/>
      <c r="HO66" s="30"/>
    </row>
    <row r="67" spans="1:223" hidden="1" outlineLevel="1" x14ac:dyDescent="0.2">
      <c r="A67" s="101" t="s">
        <v>5</v>
      </c>
      <c r="B67" s="101"/>
      <c r="C67" s="101"/>
      <c r="D67" s="101"/>
      <c r="FJ67" s="119"/>
      <c r="FQ67" s="131"/>
      <c r="FX67" s="30"/>
      <c r="GE67" s="30"/>
      <c r="GS67" s="30"/>
      <c r="GZ67" s="30"/>
      <c r="HA67" s="30"/>
      <c r="HB67" s="30"/>
      <c r="HC67" s="30"/>
      <c r="HD67" s="30"/>
      <c r="HE67" s="30"/>
      <c r="HF67" s="30"/>
      <c r="HG67" s="131"/>
      <c r="HN67" s="30"/>
      <c r="HO67" s="30"/>
    </row>
    <row r="68" spans="1:223" hidden="1" outlineLevel="1" x14ac:dyDescent="0.2">
      <c r="A68" s="101" t="s">
        <v>76</v>
      </c>
      <c r="B68" s="101"/>
      <c r="C68" s="101"/>
      <c r="D68" s="101"/>
      <c r="FJ68" s="119"/>
      <c r="FQ68" s="131"/>
      <c r="FX68" s="30"/>
      <c r="GE68" s="30"/>
      <c r="GS68" s="30"/>
      <c r="GZ68" s="30"/>
      <c r="HA68" s="30"/>
      <c r="HB68" s="30"/>
      <c r="HC68" s="30"/>
      <c r="HD68" s="30"/>
      <c r="HE68" s="30"/>
      <c r="HF68" s="30"/>
      <c r="HG68" s="131"/>
      <c r="HN68" s="30"/>
      <c r="HO68" s="30"/>
    </row>
    <row r="69" spans="1:223" collapsed="1" x14ac:dyDescent="0.2">
      <c r="A69" s="106" t="s">
        <v>363</v>
      </c>
      <c r="B69" s="138">
        <v>41140</v>
      </c>
      <c r="C69" s="138">
        <v>41146</v>
      </c>
      <c r="D69" s="106">
        <v>1</v>
      </c>
      <c r="FJ69" s="118"/>
      <c r="FQ69" s="132"/>
      <c r="FX69" s="30"/>
      <c r="GE69" s="30"/>
      <c r="GS69" s="30"/>
      <c r="GZ69" s="30"/>
      <c r="HA69" s="30"/>
      <c r="HB69" s="30"/>
      <c r="HC69" s="30"/>
      <c r="HD69" s="30"/>
      <c r="HE69" s="30"/>
      <c r="HF69" s="30"/>
      <c r="HG69" s="131"/>
      <c r="HN69" s="30"/>
      <c r="HO69" s="30"/>
    </row>
    <row r="70" spans="1:223" hidden="1" outlineLevel="1" x14ac:dyDescent="0.2">
      <c r="A70" s="101" t="s">
        <v>70</v>
      </c>
      <c r="B70" s="101"/>
      <c r="C70" s="101"/>
      <c r="D70" s="101"/>
      <c r="FJ70" s="114"/>
      <c r="FQ70" s="132"/>
      <c r="FX70" s="30"/>
      <c r="GE70" s="30"/>
      <c r="GS70" s="30"/>
      <c r="GZ70" s="30"/>
      <c r="HA70" s="30"/>
      <c r="HB70" s="30"/>
      <c r="HC70" s="30"/>
      <c r="HD70" s="30"/>
      <c r="HE70" s="30"/>
      <c r="HF70" s="30"/>
      <c r="HG70" s="131"/>
      <c r="HN70" s="30"/>
      <c r="HO70" s="30"/>
    </row>
    <row r="71" spans="1:223" hidden="1" outlineLevel="1" x14ac:dyDescent="0.2">
      <c r="A71" s="101" t="s">
        <v>71</v>
      </c>
      <c r="B71" s="101"/>
      <c r="C71" s="101"/>
      <c r="D71" s="101"/>
      <c r="FJ71" s="114"/>
      <c r="FQ71" s="132"/>
      <c r="FX71" s="30"/>
      <c r="GE71" s="30"/>
      <c r="GS71" s="30"/>
      <c r="GZ71" s="30"/>
      <c r="HA71" s="30"/>
      <c r="HB71" s="30"/>
      <c r="HC71" s="30"/>
      <c r="HD71" s="30"/>
      <c r="HE71" s="30"/>
      <c r="HF71" s="30"/>
      <c r="HG71" s="131"/>
      <c r="HN71" s="30"/>
      <c r="HO71" s="30"/>
    </row>
    <row r="72" spans="1:223" hidden="1" outlineLevel="1" x14ac:dyDescent="0.2">
      <c r="A72" s="101" t="s">
        <v>72</v>
      </c>
      <c r="B72" s="101"/>
      <c r="C72" s="101"/>
      <c r="D72" s="101"/>
      <c r="FJ72" s="114"/>
      <c r="FQ72" s="132"/>
      <c r="FX72" s="30"/>
      <c r="GE72" s="30"/>
      <c r="GS72" s="30"/>
      <c r="GZ72" s="30"/>
      <c r="HA72" s="30"/>
      <c r="HB72" s="30"/>
      <c r="HC72" s="30"/>
      <c r="HD72" s="30"/>
      <c r="HE72" s="30"/>
      <c r="HF72" s="30"/>
      <c r="HG72" s="131"/>
      <c r="HN72" s="30"/>
      <c r="HO72" s="30"/>
    </row>
    <row r="73" spans="1:223" collapsed="1" x14ac:dyDescent="0.2">
      <c r="A73" s="106" t="s">
        <v>346</v>
      </c>
      <c r="B73" s="138">
        <v>41147</v>
      </c>
      <c r="C73" s="138">
        <v>41153</v>
      </c>
      <c r="D73" s="106">
        <v>1</v>
      </c>
      <c r="FQ73" s="133"/>
      <c r="FX73" s="119"/>
      <c r="GE73" s="30"/>
      <c r="GS73" s="30"/>
      <c r="GZ73" s="30"/>
      <c r="HA73" s="30"/>
      <c r="HB73" s="30"/>
      <c r="HC73" s="30"/>
      <c r="HD73" s="30"/>
      <c r="HE73" s="30"/>
      <c r="HF73" s="30"/>
      <c r="HG73" s="131"/>
      <c r="HN73" s="30"/>
      <c r="HO73" s="30"/>
    </row>
    <row r="74" spans="1:223" hidden="1" outlineLevel="1" x14ac:dyDescent="0.2">
      <c r="A74" s="109" t="s">
        <v>56</v>
      </c>
      <c r="B74" s="109"/>
      <c r="C74" s="109"/>
      <c r="D74" s="109"/>
      <c r="FQ74" s="131"/>
      <c r="FX74" s="132"/>
      <c r="GE74" s="30"/>
      <c r="GS74" s="30"/>
      <c r="GZ74" s="30"/>
      <c r="HA74" s="30"/>
      <c r="HB74" s="30"/>
      <c r="HC74" s="30"/>
      <c r="HD74" s="30"/>
      <c r="HE74" s="30"/>
      <c r="HF74" s="30"/>
      <c r="HG74" s="131"/>
      <c r="HN74" s="30"/>
      <c r="HO74" s="30"/>
    </row>
    <row r="75" spans="1:223" hidden="1" outlineLevel="1" x14ac:dyDescent="0.2">
      <c r="A75" s="109" t="s">
        <v>57</v>
      </c>
      <c r="B75" s="109"/>
      <c r="C75" s="109"/>
      <c r="D75" s="109"/>
      <c r="FQ75" s="131"/>
      <c r="FX75" s="132"/>
      <c r="GE75" s="30"/>
      <c r="GS75" s="30"/>
      <c r="GZ75" s="30"/>
      <c r="HA75" s="30"/>
      <c r="HB75" s="30"/>
      <c r="HC75" s="30"/>
      <c r="HD75" s="30"/>
      <c r="HE75" s="30"/>
      <c r="HF75" s="30"/>
      <c r="HG75" s="131"/>
      <c r="HN75" s="30"/>
      <c r="HO75" s="30"/>
    </row>
    <row r="76" spans="1:223" collapsed="1" x14ac:dyDescent="0.2">
      <c r="A76" s="106" t="s">
        <v>364</v>
      </c>
      <c r="B76" s="138">
        <v>41154</v>
      </c>
      <c r="C76" s="138">
        <v>41160</v>
      </c>
      <c r="D76" s="106">
        <v>1</v>
      </c>
      <c r="FQ76" s="131"/>
      <c r="FX76" s="118"/>
      <c r="GE76" s="30"/>
      <c r="GS76" s="30"/>
      <c r="GZ76" s="30"/>
      <c r="HA76" s="30"/>
      <c r="HB76" s="30"/>
      <c r="HC76" s="30"/>
      <c r="HD76" s="30"/>
      <c r="HE76" s="30"/>
      <c r="HF76" s="30"/>
      <c r="HG76" s="131"/>
      <c r="HN76" s="30"/>
      <c r="HO76" s="30"/>
    </row>
    <row r="77" spans="1:223" hidden="1" outlineLevel="1" x14ac:dyDescent="0.2">
      <c r="A77" s="101" t="s">
        <v>309</v>
      </c>
      <c r="B77" s="138">
        <v>41154</v>
      </c>
      <c r="C77" s="138">
        <v>41160</v>
      </c>
      <c r="D77" s="101"/>
      <c r="FQ77" s="131"/>
      <c r="FX77" s="118"/>
      <c r="GE77" s="30"/>
      <c r="GS77" s="30"/>
      <c r="GZ77" s="30"/>
      <c r="HA77" s="30"/>
      <c r="HB77" s="30"/>
      <c r="HC77" s="30"/>
      <c r="HD77" s="30"/>
      <c r="HE77" s="30"/>
      <c r="HF77" s="30"/>
      <c r="HG77" s="131"/>
      <c r="HN77" s="30"/>
      <c r="HO77" s="30"/>
    </row>
    <row r="78" spans="1:223" ht="25.5" hidden="1" outlineLevel="1" x14ac:dyDescent="0.2">
      <c r="A78" s="101" t="s">
        <v>308</v>
      </c>
      <c r="B78" s="138">
        <v>41154</v>
      </c>
      <c r="C78" s="138">
        <v>41160</v>
      </c>
      <c r="D78" s="101"/>
      <c r="FQ78" s="131"/>
      <c r="FX78" s="118"/>
      <c r="GE78" s="30"/>
      <c r="GS78" s="30"/>
      <c r="GZ78" s="30"/>
      <c r="HA78" s="30"/>
      <c r="HB78" s="30"/>
      <c r="HC78" s="30"/>
      <c r="HD78" s="30"/>
      <c r="HE78" s="30"/>
      <c r="HF78" s="30"/>
      <c r="HG78" s="131"/>
      <c r="HN78" s="30"/>
      <c r="HO78" s="30"/>
    </row>
    <row r="79" spans="1:223" hidden="1" outlineLevel="1" x14ac:dyDescent="0.2">
      <c r="A79" s="101" t="s">
        <v>329</v>
      </c>
      <c r="B79" s="138">
        <v>41154</v>
      </c>
      <c r="C79" s="138">
        <v>41160</v>
      </c>
      <c r="D79" s="101"/>
      <c r="FQ79" s="131"/>
      <c r="FX79" s="118"/>
      <c r="GE79" s="30"/>
      <c r="GS79" s="30"/>
      <c r="GZ79" s="30"/>
      <c r="HA79" s="30"/>
      <c r="HB79" s="30"/>
      <c r="HC79" s="30"/>
      <c r="HD79" s="30"/>
      <c r="HE79" s="30"/>
      <c r="HF79" s="30"/>
      <c r="HG79" s="131"/>
      <c r="HN79" s="30"/>
      <c r="HO79" s="30"/>
    </row>
    <row r="80" spans="1:223" collapsed="1" x14ac:dyDescent="0.2">
      <c r="A80" s="106" t="s">
        <v>341</v>
      </c>
      <c r="B80" s="138">
        <v>41154</v>
      </c>
      <c r="C80" s="138">
        <v>41160</v>
      </c>
      <c r="D80" s="106">
        <v>1</v>
      </c>
      <c r="FQ80" s="131"/>
      <c r="FX80" s="117"/>
      <c r="GE80" s="30"/>
      <c r="GS80" s="30"/>
      <c r="GZ80" s="30"/>
      <c r="HA80" s="30"/>
      <c r="HB80" s="30"/>
      <c r="HC80" s="30"/>
      <c r="HD80" s="30"/>
      <c r="HE80" s="30"/>
      <c r="HF80" s="30"/>
      <c r="HG80" s="131"/>
      <c r="HN80" s="30"/>
      <c r="HO80" s="30"/>
    </row>
    <row r="81" spans="1:223" hidden="1" outlineLevel="1" x14ac:dyDescent="0.2">
      <c r="A81" s="100" t="s">
        <v>333</v>
      </c>
      <c r="B81" s="138">
        <v>41154</v>
      </c>
      <c r="C81" s="138">
        <v>41160</v>
      </c>
      <c r="D81" s="100"/>
      <c r="FQ81" s="131"/>
      <c r="FX81" s="118"/>
      <c r="GE81" s="30"/>
      <c r="GS81" s="30"/>
      <c r="GZ81" s="30"/>
      <c r="HA81" s="30"/>
      <c r="HB81" s="30"/>
      <c r="HC81" s="30"/>
      <c r="HD81" s="30"/>
      <c r="HE81" s="30"/>
      <c r="HF81" s="30"/>
      <c r="HG81" s="131"/>
      <c r="HN81" s="30"/>
      <c r="HO81" s="30"/>
    </row>
    <row r="82" spans="1:223" ht="25.5" hidden="1" outlineLevel="1" x14ac:dyDescent="0.2">
      <c r="A82" s="100" t="s">
        <v>334</v>
      </c>
      <c r="B82" s="138">
        <v>41154</v>
      </c>
      <c r="C82" s="138">
        <v>41160</v>
      </c>
      <c r="D82" s="100"/>
      <c r="FQ82" s="131"/>
      <c r="FX82" s="118"/>
      <c r="GE82" s="30"/>
      <c r="GS82" s="30"/>
      <c r="GZ82" s="30"/>
      <c r="HA82" s="30"/>
      <c r="HB82" s="30"/>
      <c r="HC82" s="30"/>
      <c r="HD82" s="30"/>
      <c r="HE82" s="30"/>
      <c r="HF82" s="30"/>
      <c r="HG82" s="131"/>
      <c r="HN82" s="30"/>
      <c r="HO82" s="30"/>
    </row>
    <row r="83" spans="1:223" ht="25.5" hidden="1" outlineLevel="1" x14ac:dyDescent="0.2">
      <c r="A83" s="100" t="s">
        <v>335</v>
      </c>
      <c r="B83" s="138">
        <v>41154</v>
      </c>
      <c r="C83" s="138">
        <v>41160</v>
      </c>
      <c r="D83" s="100"/>
      <c r="FQ83" s="131"/>
      <c r="FX83" s="118"/>
      <c r="GE83" s="30"/>
      <c r="GS83" s="30"/>
      <c r="GZ83" s="30"/>
      <c r="HA83" s="30"/>
      <c r="HB83" s="30"/>
      <c r="HC83" s="30"/>
      <c r="HD83" s="30"/>
      <c r="HE83" s="30"/>
      <c r="HF83" s="30"/>
      <c r="HG83" s="131"/>
      <c r="HN83" s="30"/>
      <c r="HO83" s="30"/>
    </row>
    <row r="84" spans="1:223" hidden="1" outlineLevel="1" x14ac:dyDescent="0.2">
      <c r="A84" s="101" t="s">
        <v>338</v>
      </c>
      <c r="B84" s="138">
        <v>41154</v>
      </c>
      <c r="C84" s="138">
        <v>41160</v>
      </c>
      <c r="D84" s="101"/>
      <c r="FQ84" s="131"/>
      <c r="FX84" s="118"/>
      <c r="GE84" s="30"/>
      <c r="GS84" s="30"/>
      <c r="GZ84" s="30"/>
      <c r="HA84" s="30"/>
      <c r="HB84" s="30"/>
      <c r="HC84" s="30"/>
      <c r="HD84" s="30"/>
      <c r="HE84" s="30"/>
      <c r="HF84" s="30"/>
      <c r="HG84" s="131"/>
      <c r="HN84" s="30"/>
      <c r="HO84" s="30"/>
    </row>
    <row r="85" spans="1:223" collapsed="1" x14ac:dyDescent="0.2">
      <c r="A85" s="106" t="s">
        <v>347</v>
      </c>
      <c r="B85" s="140">
        <v>41154</v>
      </c>
      <c r="C85" s="140">
        <v>41167</v>
      </c>
      <c r="D85" s="125">
        <v>2</v>
      </c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6"/>
      <c r="EA85" s="126"/>
      <c r="EB85" s="126"/>
      <c r="EC85" s="126"/>
      <c r="ED85" s="126"/>
      <c r="EE85" s="126"/>
      <c r="EF85" s="126"/>
      <c r="EG85" s="126"/>
      <c r="EH85" s="126"/>
      <c r="EI85" s="126"/>
      <c r="EJ85" s="126"/>
      <c r="EK85" s="126"/>
      <c r="EL85" s="126"/>
      <c r="EM85" s="126"/>
      <c r="EN85" s="126"/>
      <c r="EO85" s="126"/>
      <c r="EP85" s="126"/>
      <c r="EQ85" s="126"/>
      <c r="ER85" s="126"/>
      <c r="ES85" s="126"/>
      <c r="ET85" s="126"/>
      <c r="EU85" s="126"/>
      <c r="EV85" s="126"/>
      <c r="EW85" s="126"/>
      <c r="EX85" s="126"/>
      <c r="EY85" s="126"/>
      <c r="EZ85" s="126"/>
      <c r="FA85" s="126"/>
      <c r="FB85" s="126"/>
      <c r="FC85" s="126"/>
      <c r="FD85" s="126"/>
      <c r="FE85" s="126"/>
      <c r="FF85" s="126"/>
      <c r="FG85" s="126"/>
      <c r="FH85" s="126"/>
      <c r="FI85" s="126"/>
      <c r="FJ85" s="126"/>
      <c r="FK85" s="126"/>
      <c r="FL85" s="126"/>
      <c r="FM85" s="126"/>
      <c r="FN85" s="126"/>
      <c r="FO85" s="126"/>
      <c r="FP85" s="126"/>
      <c r="FQ85" s="155"/>
      <c r="FR85" s="126"/>
      <c r="FS85" s="126"/>
      <c r="FT85" s="126"/>
      <c r="FU85" s="126"/>
      <c r="FV85" s="126"/>
      <c r="FW85" s="126"/>
      <c r="FX85" s="122"/>
      <c r="GE85" s="122"/>
      <c r="GL85" s="119"/>
      <c r="GS85" s="30"/>
      <c r="GZ85" s="30"/>
      <c r="HA85" s="30"/>
      <c r="HB85" s="30"/>
      <c r="HC85" s="30"/>
      <c r="HD85" s="30"/>
      <c r="HE85" s="30"/>
      <c r="HF85" s="30"/>
      <c r="HG85" s="131"/>
      <c r="HN85" s="30"/>
      <c r="HO85" s="30"/>
    </row>
    <row r="86" spans="1:223" hidden="1" outlineLevel="1" x14ac:dyDescent="0.2">
      <c r="A86" s="107" t="s">
        <v>274</v>
      </c>
      <c r="B86" s="107"/>
      <c r="C86" s="107"/>
      <c r="D86" s="107"/>
      <c r="FX86" s="30"/>
      <c r="GE86" s="119"/>
      <c r="GS86" s="30"/>
      <c r="GZ86" s="30"/>
      <c r="HA86" s="30"/>
      <c r="HB86" s="30"/>
      <c r="HC86" s="30"/>
      <c r="HD86" s="30"/>
      <c r="HE86" s="30"/>
      <c r="HF86" s="30"/>
      <c r="HG86" s="131"/>
      <c r="HN86" s="30"/>
      <c r="HO86" s="30"/>
    </row>
    <row r="87" spans="1:223" hidden="1" outlineLevel="1" x14ac:dyDescent="0.2">
      <c r="A87" s="107" t="s">
        <v>275</v>
      </c>
      <c r="B87" s="107"/>
      <c r="C87" s="107"/>
      <c r="D87" s="107"/>
      <c r="FX87" s="30"/>
      <c r="GE87" s="119"/>
      <c r="GS87" s="30"/>
      <c r="GZ87" s="30"/>
      <c r="HA87" s="30"/>
      <c r="HB87" s="30"/>
      <c r="HC87" s="30"/>
      <c r="HD87" s="30"/>
      <c r="HE87" s="30"/>
      <c r="HF87" s="30"/>
      <c r="HG87" s="131"/>
      <c r="HN87" s="30"/>
      <c r="HO87" s="30"/>
    </row>
    <row r="88" spans="1:223" hidden="1" outlineLevel="1" x14ac:dyDescent="0.2">
      <c r="A88" s="107" t="s">
        <v>322</v>
      </c>
      <c r="B88" s="107"/>
      <c r="C88" s="107"/>
      <c r="D88" s="107"/>
      <c r="FX88" s="30"/>
      <c r="GE88" s="119"/>
      <c r="GS88" s="30"/>
      <c r="GZ88" s="30"/>
      <c r="HA88" s="30"/>
      <c r="HB88" s="30"/>
      <c r="HC88" s="30"/>
      <c r="HD88" s="30"/>
      <c r="HE88" s="30"/>
      <c r="HF88" s="30"/>
      <c r="HG88" s="131"/>
      <c r="HN88" s="30"/>
      <c r="HO88" s="30"/>
    </row>
    <row r="89" spans="1:223" hidden="1" outlineLevel="1" x14ac:dyDescent="0.2">
      <c r="A89" s="107" t="s">
        <v>276</v>
      </c>
      <c r="B89" s="107"/>
      <c r="C89" s="107"/>
      <c r="D89" s="107"/>
      <c r="FX89" s="30"/>
      <c r="GE89" s="119"/>
      <c r="GS89" s="30"/>
      <c r="GZ89" s="30"/>
      <c r="HA89" s="30"/>
      <c r="HB89" s="30"/>
      <c r="HC89" s="30"/>
      <c r="HD89" s="30"/>
      <c r="HE89" s="30"/>
      <c r="HF89" s="30"/>
      <c r="HG89" s="131"/>
      <c r="HN89" s="30"/>
      <c r="HO89" s="30"/>
    </row>
    <row r="90" spans="1:223" collapsed="1" x14ac:dyDescent="0.2">
      <c r="A90" s="106" t="s">
        <v>342</v>
      </c>
      <c r="B90" s="138">
        <v>41168</v>
      </c>
      <c r="C90" s="138">
        <v>41174</v>
      </c>
      <c r="D90" s="106">
        <v>1</v>
      </c>
      <c r="FX90" s="30"/>
      <c r="GL90" s="118"/>
      <c r="GS90" s="30"/>
      <c r="GZ90" s="30"/>
      <c r="HA90" s="30"/>
      <c r="HB90" s="30"/>
      <c r="HC90" s="30"/>
      <c r="HD90" s="30"/>
      <c r="HE90" s="30"/>
      <c r="HF90" s="30"/>
      <c r="HG90" s="131"/>
      <c r="HN90" s="30"/>
      <c r="HO90" s="30"/>
    </row>
    <row r="91" spans="1:223" hidden="1" outlineLevel="1" x14ac:dyDescent="0.2">
      <c r="A91" s="101" t="s">
        <v>62</v>
      </c>
      <c r="B91" s="101"/>
      <c r="C91" s="101"/>
      <c r="D91" s="101"/>
      <c r="GL91" s="118"/>
      <c r="GS91" s="131"/>
      <c r="GZ91" s="30"/>
      <c r="HA91" s="30"/>
      <c r="HB91" s="30"/>
      <c r="HC91" s="30"/>
      <c r="HD91" s="30"/>
      <c r="HE91" s="30"/>
      <c r="HF91" s="30"/>
      <c r="HG91" s="131"/>
      <c r="HN91" s="30"/>
    </row>
    <row r="92" spans="1:223" hidden="1" outlineLevel="1" x14ac:dyDescent="0.2">
      <c r="A92" s="101" t="s">
        <v>63</v>
      </c>
      <c r="B92" s="101"/>
      <c r="C92" s="101"/>
      <c r="D92" s="101"/>
      <c r="GL92" s="118"/>
      <c r="GS92" s="131"/>
      <c r="GZ92" s="30"/>
      <c r="HA92" s="30"/>
      <c r="HB92" s="30"/>
      <c r="HC92" s="30"/>
      <c r="HD92" s="30"/>
      <c r="HE92" s="30"/>
      <c r="HF92" s="30"/>
      <c r="HG92" s="131"/>
      <c r="HN92" s="30"/>
    </row>
    <row r="93" spans="1:223" hidden="1" outlineLevel="1" x14ac:dyDescent="0.2">
      <c r="A93" s="101" t="s">
        <v>64</v>
      </c>
      <c r="B93" s="101"/>
      <c r="C93" s="101"/>
      <c r="D93" s="101"/>
      <c r="GL93" s="118"/>
      <c r="GS93" s="131"/>
      <c r="GZ93" s="30"/>
      <c r="HA93" s="30"/>
      <c r="HB93" s="30"/>
      <c r="HC93" s="30"/>
      <c r="HD93" s="30"/>
      <c r="HE93" s="30"/>
      <c r="HF93" s="30"/>
      <c r="HG93" s="131"/>
      <c r="HN93" s="30"/>
    </row>
    <row r="94" spans="1:223" collapsed="1" x14ac:dyDescent="0.2">
      <c r="A94" s="106" t="s">
        <v>345</v>
      </c>
      <c r="B94" s="138">
        <v>41168</v>
      </c>
      <c r="C94" s="138">
        <v>41174</v>
      </c>
      <c r="D94" s="106">
        <v>1</v>
      </c>
      <c r="GL94" s="117"/>
      <c r="GS94" s="119"/>
      <c r="GZ94" s="30"/>
      <c r="HA94" s="30"/>
      <c r="HB94" s="30"/>
      <c r="HC94" s="30"/>
      <c r="HD94" s="30"/>
      <c r="HE94" s="30"/>
      <c r="HF94" s="30"/>
      <c r="HG94" s="131"/>
      <c r="HN94" s="30"/>
    </row>
    <row r="95" spans="1:223" ht="25.5" hidden="1" outlineLevel="1" x14ac:dyDescent="0.2">
      <c r="A95" s="101" t="s">
        <v>65</v>
      </c>
      <c r="B95" s="101"/>
      <c r="C95" s="101"/>
      <c r="D95" s="101"/>
      <c r="GS95" s="119"/>
      <c r="GZ95" s="30"/>
      <c r="HA95" s="30"/>
      <c r="HB95" s="30"/>
      <c r="HC95" s="30"/>
      <c r="HD95" s="30"/>
      <c r="HE95" s="30"/>
      <c r="HF95" s="30"/>
      <c r="HG95" s="131"/>
      <c r="HN95" s="30"/>
    </row>
    <row r="96" spans="1:223" hidden="1" outlineLevel="1" x14ac:dyDescent="0.2">
      <c r="A96" s="101" t="s">
        <v>66</v>
      </c>
      <c r="B96" s="101"/>
      <c r="C96" s="101"/>
      <c r="D96" s="101"/>
      <c r="GS96" s="119"/>
      <c r="GZ96" s="30"/>
      <c r="HA96" s="30"/>
      <c r="HB96" s="30"/>
      <c r="HC96" s="30"/>
      <c r="HD96" s="30"/>
      <c r="HE96" s="30"/>
      <c r="HF96" s="30"/>
      <c r="HG96" s="131"/>
      <c r="HN96" s="30"/>
    </row>
    <row r="97" spans="1:229" collapsed="1" x14ac:dyDescent="0.2">
      <c r="A97" s="106" t="s">
        <v>400</v>
      </c>
      <c r="B97" s="138">
        <v>41175</v>
      </c>
      <c r="C97" s="138">
        <v>41181</v>
      </c>
      <c r="D97" s="106">
        <v>1</v>
      </c>
      <c r="GS97" s="118"/>
      <c r="GZ97" s="30"/>
      <c r="HA97" s="30"/>
      <c r="HB97" s="30"/>
      <c r="HC97" s="30"/>
      <c r="HD97" s="30"/>
      <c r="HE97" s="30"/>
      <c r="HF97" s="30"/>
      <c r="HG97" s="131"/>
      <c r="HN97" s="30"/>
      <c r="HO97" s="30"/>
      <c r="HP97" s="30"/>
    </row>
    <row r="98" spans="1:229" hidden="1" outlineLevel="1" x14ac:dyDescent="0.2">
      <c r="A98" s="101" t="s">
        <v>248</v>
      </c>
      <c r="B98" s="101"/>
      <c r="C98" s="101"/>
      <c r="D98" s="101"/>
      <c r="GS98" s="132"/>
      <c r="GZ98" s="30"/>
      <c r="HG98" s="132"/>
      <c r="HN98" s="30"/>
      <c r="HO98" s="30"/>
      <c r="HP98" s="30"/>
    </row>
    <row r="99" spans="1:229" collapsed="1" x14ac:dyDescent="0.2">
      <c r="A99" s="106" t="s">
        <v>349</v>
      </c>
      <c r="B99" s="141">
        <v>41175</v>
      </c>
      <c r="C99" s="141">
        <v>41181</v>
      </c>
      <c r="D99" s="108">
        <v>1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0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126"/>
      <c r="GN99" s="126"/>
      <c r="GO99" s="126"/>
      <c r="GP99" s="126"/>
      <c r="GQ99" s="126"/>
      <c r="GR99" s="126"/>
      <c r="GS99" s="154"/>
      <c r="GT99" s="126"/>
      <c r="GU99" s="126"/>
      <c r="GV99" s="126"/>
      <c r="GW99" s="126"/>
      <c r="GX99" s="126"/>
      <c r="GY99" s="126"/>
      <c r="GZ99" s="30"/>
      <c r="HA99" s="30"/>
      <c r="HB99" s="30"/>
      <c r="HC99" s="30"/>
      <c r="HD99" s="30"/>
      <c r="HE99" s="30"/>
      <c r="HF99" s="30"/>
      <c r="HG99" s="131"/>
      <c r="HN99" s="30"/>
      <c r="HO99" s="30"/>
      <c r="HP99" s="30"/>
    </row>
    <row r="100" spans="1:229" hidden="1" outlineLevel="1" x14ac:dyDescent="0.2">
      <c r="A100" s="101" t="s">
        <v>277</v>
      </c>
      <c r="B100" s="101"/>
      <c r="C100" s="101"/>
      <c r="D100" s="101"/>
      <c r="GS100" s="131"/>
      <c r="GZ100" s="30"/>
      <c r="HA100" s="30"/>
      <c r="HB100" s="30"/>
      <c r="HC100" s="30"/>
      <c r="HD100" s="30"/>
      <c r="HE100" s="30"/>
      <c r="HF100" s="30"/>
      <c r="HG100" s="131"/>
      <c r="HN100" s="30"/>
      <c r="HO100" s="30"/>
      <c r="HP100" s="30"/>
    </row>
    <row r="101" spans="1:229" hidden="1" outlineLevel="1" x14ac:dyDescent="0.2">
      <c r="A101" s="101" t="s">
        <v>244</v>
      </c>
      <c r="B101" s="101"/>
      <c r="C101" s="101"/>
      <c r="D101" s="101"/>
      <c r="GS101" s="131"/>
      <c r="GZ101" s="30"/>
      <c r="HA101" s="30"/>
      <c r="HB101" s="30"/>
      <c r="HC101" s="30"/>
      <c r="HD101" s="30"/>
      <c r="HE101" s="30"/>
      <c r="HF101" s="30"/>
      <c r="HG101" s="131"/>
      <c r="HN101" s="30"/>
      <c r="HO101" s="30"/>
      <c r="HP101" s="30"/>
    </row>
    <row r="102" spans="1:229" collapsed="1" x14ac:dyDescent="0.2">
      <c r="A102" s="108" t="s">
        <v>365</v>
      </c>
      <c r="B102" s="141">
        <v>41182</v>
      </c>
      <c r="C102" s="141">
        <v>41195</v>
      </c>
      <c r="D102" s="108">
        <v>2</v>
      </c>
      <c r="GS102" s="131"/>
      <c r="GT102" s="30"/>
      <c r="GU102" s="30"/>
      <c r="GV102" s="30"/>
      <c r="GW102" s="30"/>
      <c r="GX102" s="30"/>
      <c r="GY102" s="30"/>
      <c r="GZ102" s="122"/>
      <c r="HA102" s="122"/>
      <c r="HB102" s="122"/>
      <c r="HC102" s="122"/>
      <c r="HD102" s="122"/>
      <c r="HE102" s="122"/>
      <c r="HF102" s="122"/>
      <c r="HG102" s="121"/>
      <c r="HN102" s="30"/>
      <c r="HO102" s="30"/>
      <c r="HP102" s="30"/>
    </row>
    <row r="103" spans="1:229" hidden="1" outlineLevel="1" x14ac:dyDescent="0.2">
      <c r="A103" s="100" t="s">
        <v>75</v>
      </c>
      <c r="B103" s="100"/>
      <c r="C103" s="100"/>
      <c r="D103" s="100"/>
      <c r="GS103" s="30"/>
      <c r="GT103" s="30"/>
      <c r="GU103" s="30"/>
      <c r="GV103" s="30"/>
      <c r="GW103" s="30"/>
      <c r="GX103" s="30"/>
      <c r="GY103" s="30"/>
      <c r="GZ103" s="122"/>
      <c r="HA103" s="122"/>
      <c r="HB103" s="122"/>
      <c r="HC103" s="122"/>
      <c r="HD103" s="122"/>
      <c r="HE103" s="122"/>
      <c r="HF103" s="122"/>
      <c r="HG103" s="121"/>
      <c r="HN103" s="30"/>
      <c r="HO103" s="30"/>
      <c r="HP103" s="30"/>
    </row>
    <row r="104" spans="1:229" collapsed="1" x14ac:dyDescent="0.2">
      <c r="A104" s="106" t="s">
        <v>366</v>
      </c>
      <c r="B104" s="140">
        <v>41182</v>
      </c>
      <c r="C104" s="140">
        <v>41195</v>
      </c>
      <c r="D104" s="125">
        <v>2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  <c r="BR104" s="126"/>
      <c r="BS104" s="126"/>
      <c r="BT104" s="126"/>
      <c r="BU104" s="126"/>
      <c r="BV104" s="126"/>
      <c r="BW104" s="126"/>
      <c r="BX104" s="126"/>
      <c r="BY104" s="126"/>
      <c r="BZ104" s="126"/>
      <c r="CA104" s="126"/>
      <c r="CB104" s="126"/>
      <c r="CC104" s="126"/>
      <c r="CD104" s="126"/>
      <c r="CK104" s="126"/>
      <c r="CL104" s="126"/>
      <c r="CM104" s="126"/>
      <c r="CN104" s="126"/>
      <c r="CO104" s="126"/>
      <c r="CP104" s="126"/>
      <c r="CQ104" s="126"/>
      <c r="CR104" s="126"/>
      <c r="CS104" s="126"/>
      <c r="CT104" s="126"/>
      <c r="CU104" s="126"/>
      <c r="CV104" s="126"/>
      <c r="CW104" s="126"/>
      <c r="CX104" s="126"/>
      <c r="CY104" s="126"/>
      <c r="CZ104" s="126"/>
      <c r="DA104" s="126"/>
      <c r="DB104" s="126"/>
      <c r="DC104" s="126"/>
      <c r="DD104" s="126"/>
      <c r="DE104" s="126"/>
      <c r="DF104" s="126"/>
      <c r="DG104" s="126"/>
      <c r="DH104" s="126"/>
      <c r="DI104" s="126"/>
      <c r="DJ104" s="126"/>
      <c r="DK104" s="126"/>
      <c r="DL104" s="126"/>
      <c r="DM104" s="126"/>
      <c r="DN104" s="126"/>
      <c r="DO104" s="126"/>
      <c r="DP104" s="126"/>
      <c r="DQ104" s="126"/>
      <c r="DR104" s="126"/>
      <c r="DS104" s="126"/>
      <c r="DT104" s="126"/>
      <c r="DU104" s="126"/>
      <c r="DV104" s="126"/>
      <c r="DW104" s="126"/>
      <c r="DX104" s="126"/>
      <c r="DY104" s="126"/>
      <c r="DZ104" s="126"/>
      <c r="EA104" s="126"/>
      <c r="EB104" s="126"/>
      <c r="EC104" s="126"/>
      <c r="ED104" s="126"/>
      <c r="EE104" s="126"/>
      <c r="EF104" s="126"/>
      <c r="EG104" s="126"/>
      <c r="EH104" s="126"/>
      <c r="EI104" s="126"/>
      <c r="EJ104" s="126"/>
      <c r="EK104" s="126"/>
      <c r="EL104" s="126"/>
      <c r="EM104" s="126"/>
      <c r="EN104" s="126"/>
      <c r="EO104" s="126"/>
      <c r="EP104" s="126"/>
      <c r="EQ104" s="126"/>
      <c r="ER104" s="126"/>
      <c r="ES104" s="126"/>
      <c r="ET104" s="126"/>
      <c r="EU104" s="126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6"/>
      <c r="FF104" s="126"/>
      <c r="FG104" s="126"/>
      <c r="FH104" s="126"/>
      <c r="FI104" s="126"/>
      <c r="FJ104" s="126"/>
      <c r="FK104" s="126"/>
      <c r="FL104" s="126"/>
      <c r="FM104" s="126"/>
      <c r="FN104" s="126"/>
      <c r="FO104" s="126"/>
      <c r="FP104" s="126"/>
      <c r="FQ104" s="126"/>
      <c r="FR104" s="126"/>
      <c r="FS104" s="126"/>
      <c r="FT104" s="126"/>
      <c r="FU104" s="126"/>
      <c r="FV104" s="126"/>
      <c r="FW104" s="126"/>
      <c r="FX104" s="126"/>
      <c r="FY104" s="126"/>
      <c r="FZ104" s="126"/>
      <c r="GA104" s="126"/>
      <c r="GB104" s="126"/>
      <c r="GC104" s="126"/>
      <c r="GD104" s="126"/>
      <c r="GE104" s="126"/>
      <c r="GF104" s="126"/>
      <c r="GG104" s="126"/>
      <c r="GH104" s="126"/>
      <c r="GI104" s="126"/>
      <c r="GJ104" s="126"/>
      <c r="GK104" s="126"/>
      <c r="GL104" s="126"/>
      <c r="GM104" s="126"/>
      <c r="GN104" s="126"/>
      <c r="GO104" s="126"/>
      <c r="GP104" s="126"/>
      <c r="GQ104" s="126"/>
      <c r="GR104" s="126"/>
      <c r="GS104" s="126"/>
      <c r="GT104" s="126"/>
      <c r="GU104" s="126"/>
      <c r="GV104" s="126"/>
      <c r="GW104" s="126"/>
      <c r="GX104" s="126"/>
      <c r="GY104" s="126"/>
      <c r="GZ104" s="127"/>
      <c r="HA104" s="127"/>
      <c r="HB104" s="127"/>
      <c r="HC104" s="127"/>
      <c r="HD104" s="127"/>
      <c r="HE104" s="127"/>
      <c r="HF104" s="127"/>
      <c r="HG104" s="135"/>
      <c r="HH104" s="30"/>
      <c r="HI104" s="30"/>
      <c r="HJ104" s="30"/>
      <c r="HK104" s="30"/>
      <c r="HL104" s="30"/>
      <c r="HM104" s="30"/>
      <c r="HN104" s="30"/>
      <c r="HO104" s="30"/>
      <c r="HP104" s="30"/>
    </row>
    <row r="105" spans="1:229" hidden="1" outlineLevel="1" x14ac:dyDescent="0.2">
      <c r="A105" s="101" t="s">
        <v>70</v>
      </c>
      <c r="B105" s="101"/>
      <c r="C105" s="101"/>
      <c r="D105" s="101"/>
      <c r="BB105" s="30"/>
      <c r="BC105" s="30"/>
      <c r="BD105" s="30"/>
      <c r="BE105" s="30"/>
      <c r="BF105" s="30"/>
      <c r="BG105" s="30"/>
      <c r="BH105" s="30"/>
      <c r="BI105" s="30"/>
      <c r="BJ105" s="30"/>
      <c r="BK105" s="30"/>
      <c r="BL105" s="30"/>
      <c r="BM105" s="30"/>
      <c r="BN105" s="30"/>
      <c r="BO105" s="30"/>
      <c r="BP105" s="30"/>
      <c r="BQ105" s="30"/>
      <c r="BR105" s="30"/>
      <c r="BS105" s="30"/>
      <c r="BT105" s="30"/>
      <c r="BU105" s="30"/>
      <c r="BV105" s="30"/>
      <c r="CK105" s="30"/>
      <c r="CL105" s="30"/>
      <c r="CM105" s="30"/>
      <c r="CN105" s="30"/>
      <c r="CO105" s="30"/>
      <c r="CP105" s="30"/>
      <c r="CQ105" s="30"/>
      <c r="CR105" s="30"/>
      <c r="CS105" s="30"/>
      <c r="CT105" s="30"/>
      <c r="CU105" s="30"/>
      <c r="CV105" s="30"/>
      <c r="CW105" s="30"/>
      <c r="CX105" s="30"/>
      <c r="CY105" s="30"/>
      <c r="CZ105" s="30"/>
      <c r="DA105" s="30"/>
      <c r="DB105" s="30"/>
      <c r="DC105" s="30"/>
      <c r="DD105" s="30"/>
      <c r="DE105" s="30"/>
      <c r="DF105" s="30"/>
      <c r="DG105" s="30"/>
      <c r="DH105" s="30"/>
      <c r="DI105" s="30"/>
      <c r="DJ105" s="30"/>
      <c r="DK105" s="30"/>
      <c r="DL105" s="30"/>
      <c r="DM105" s="30"/>
      <c r="DN105" s="30"/>
      <c r="DO105" s="30"/>
      <c r="DP105" s="30"/>
      <c r="DQ105" s="30"/>
      <c r="DR105" s="30"/>
      <c r="DS105" s="30"/>
      <c r="DT105" s="30"/>
      <c r="DU105" s="30"/>
      <c r="DV105" s="30"/>
      <c r="DW105" s="30"/>
      <c r="DX105" s="30"/>
      <c r="DY105" s="30"/>
      <c r="DZ105" s="30"/>
      <c r="EA105" s="30"/>
      <c r="EB105" s="30"/>
      <c r="EC105" s="30"/>
      <c r="ED105" s="30"/>
      <c r="EE105" s="30"/>
      <c r="EF105" s="30"/>
      <c r="EG105" s="30"/>
      <c r="EH105" s="30"/>
      <c r="EI105" s="30"/>
      <c r="EJ105" s="30"/>
      <c r="EK105" s="30"/>
      <c r="EL105" s="30"/>
      <c r="EM105" s="30"/>
      <c r="EN105" s="30"/>
      <c r="EO105" s="30"/>
      <c r="EP105" s="30"/>
      <c r="EQ105" s="30"/>
      <c r="ER105" s="30"/>
      <c r="ES105" s="30"/>
      <c r="ET105" s="30"/>
      <c r="EU105" s="30"/>
      <c r="EV105" s="30"/>
      <c r="EW105" s="30"/>
      <c r="EX105" s="30"/>
      <c r="EY105" s="30"/>
      <c r="EZ105" s="30"/>
      <c r="FA105" s="30"/>
      <c r="FB105" s="30"/>
      <c r="FC105" s="30"/>
      <c r="FD105" s="30"/>
      <c r="FE105" s="30"/>
      <c r="FF105" s="30"/>
      <c r="FG105" s="30"/>
      <c r="FH105" s="30"/>
      <c r="FI105" s="30"/>
      <c r="FJ105" s="30"/>
      <c r="FK105" s="30"/>
      <c r="FL105" s="30"/>
      <c r="FM105" s="30"/>
      <c r="FN105" s="30"/>
      <c r="FO105" s="30"/>
      <c r="FP105" s="30"/>
      <c r="FQ105" s="30"/>
      <c r="FR105" s="30"/>
      <c r="FS105" s="30"/>
      <c r="FT105" s="30"/>
      <c r="FU105" s="30"/>
      <c r="FV105" s="30"/>
      <c r="FW105" s="30"/>
      <c r="FX105" s="30"/>
      <c r="FY105" s="30"/>
      <c r="FZ105" s="30"/>
      <c r="GA105" s="30"/>
      <c r="GB105" s="30"/>
      <c r="GC105" s="30"/>
      <c r="GD105" s="30"/>
      <c r="GE105" s="30"/>
      <c r="GF105" s="30"/>
      <c r="GG105" s="30"/>
      <c r="GH105" s="30"/>
      <c r="GI105" s="30"/>
      <c r="GJ105" s="30"/>
      <c r="GK105" s="30"/>
      <c r="GL105" s="30"/>
      <c r="GM105" s="30"/>
      <c r="GN105" s="30"/>
      <c r="GO105" s="30"/>
      <c r="GP105" s="30"/>
      <c r="GQ105" s="30"/>
      <c r="GR105" s="30"/>
      <c r="GS105" s="30"/>
      <c r="GZ105" s="30"/>
      <c r="HA105" s="30"/>
      <c r="HB105" s="30"/>
      <c r="HC105" s="30"/>
      <c r="HD105" s="30"/>
      <c r="HE105" s="30"/>
      <c r="HF105" s="30"/>
      <c r="HG105" s="30"/>
      <c r="HH105" s="30"/>
      <c r="HI105" s="30"/>
      <c r="HJ105" s="30"/>
      <c r="HK105" s="30"/>
      <c r="HL105" s="30"/>
      <c r="HM105" s="30"/>
      <c r="HN105" s="131"/>
    </row>
    <row r="106" spans="1:229" hidden="1" outlineLevel="1" x14ac:dyDescent="0.2">
      <c r="A106" s="101" t="s">
        <v>71</v>
      </c>
      <c r="B106" s="101"/>
      <c r="C106" s="101"/>
      <c r="D106" s="101"/>
      <c r="BB106" s="30"/>
      <c r="BC106" s="30"/>
      <c r="BD106" s="30"/>
      <c r="BE106" s="30"/>
      <c r="BF106" s="30"/>
      <c r="BG106" s="30"/>
      <c r="BH106" s="30"/>
      <c r="BI106" s="30"/>
      <c r="BJ106" s="30"/>
      <c r="BK106" s="30"/>
      <c r="BL106" s="30"/>
      <c r="BM106" s="30"/>
      <c r="BN106" s="30"/>
      <c r="BO106" s="30"/>
      <c r="BP106" s="30"/>
      <c r="BQ106" s="30"/>
      <c r="BR106" s="30"/>
      <c r="BS106" s="30"/>
      <c r="BT106" s="30"/>
      <c r="BU106" s="30"/>
      <c r="BV106" s="30"/>
      <c r="CK106" s="30"/>
      <c r="CL106" s="30"/>
      <c r="CM106" s="30"/>
      <c r="CN106" s="30"/>
      <c r="CO106" s="30"/>
      <c r="CP106" s="30"/>
      <c r="CQ106" s="30"/>
      <c r="CR106" s="30"/>
      <c r="CS106" s="30"/>
      <c r="CT106" s="30"/>
      <c r="CU106" s="30"/>
      <c r="CV106" s="30"/>
      <c r="CW106" s="30"/>
      <c r="CX106" s="30"/>
      <c r="CY106" s="30"/>
      <c r="CZ106" s="30"/>
      <c r="DA106" s="30"/>
      <c r="DB106" s="30"/>
      <c r="DC106" s="30"/>
      <c r="DD106" s="30"/>
      <c r="DE106" s="30"/>
      <c r="DF106" s="30"/>
      <c r="DG106" s="30"/>
      <c r="DH106" s="30"/>
      <c r="DI106" s="30"/>
      <c r="DJ106" s="30"/>
      <c r="DK106" s="30"/>
      <c r="DL106" s="30"/>
      <c r="DM106" s="30"/>
      <c r="DN106" s="30"/>
      <c r="DO106" s="30"/>
      <c r="DP106" s="30"/>
      <c r="DQ106" s="30"/>
      <c r="DR106" s="30"/>
      <c r="DS106" s="30"/>
      <c r="DT106" s="30"/>
      <c r="DU106" s="30"/>
      <c r="DV106" s="30"/>
      <c r="DW106" s="30"/>
      <c r="DX106" s="30"/>
      <c r="DY106" s="30"/>
      <c r="DZ106" s="30"/>
      <c r="EA106" s="30"/>
      <c r="EB106" s="30"/>
      <c r="EC106" s="30"/>
      <c r="ED106" s="30"/>
      <c r="EE106" s="30"/>
      <c r="EF106" s="30"/>
      <c r="EG106" s="30"/>
      <c r="EH106" s="30"/>
      <c r="EI106" s="30"/>
      <c r="EJ106" s="30"/>
      <c r="EK106" s="30"/>
      <c r="EL106" s="30"/>
      <c r="EM106" s="30"/>
      <c r="EN106" s="30"/>
      <c r="EO106" s="30"/>
      <c r="EP106" s="30"/>
      <c r="EQ106" s="30"/>
      <c r="ER106" s="30"/>
      <c r="ES106" s="30"/>
      <c r="ET106" s="30"/>
      <c r="EU106" s="30"/>
      <c r="EV106" s="30"/>
      <c r="EW106" s="30"/>
      <c r="EX106" s="30"/>
      <c r="EY106" s="30"/>
      <c r="EZ106" s="30"/>
      <c r="FA106" s="30"/>
      <c r="FB106" s="30"/>
      <c r="FC106" s="30"/>
      <c r="FD106" s="30"/>
      <c r="FE106" s="30"/>
      <c r="FF106" s="30"/>
      <c r="FG106" s="30"/>
      <c r="FH106" s="30"/>
      <c r="FI106" s="30"/>
      <c r="FJ106" s="30"/>
      <c r="FK106" s="30"/>
      <c r="FL106" s="30"/>
      <c r="FM106" s="30"/>
      <c r="FN106" s="30"/>
      <c r="FO106" s="30"/>
      <c r="FP106" s="30"/>
      <c r="FQ106" s="30"/>
      <c r="FR106" s="30"/>
      <c r="FS106" s="30"/>
      <c r="FT106" s="30"/>
      <c r="FU106" s="30"/>
      <c r="FV106" s="30"/>
      <c r="FW106" s="30"/>
      <c r="FX106" s="30"/>
      <c r="FY106" s="30"/>
      <c r="FZ106" s="30"/>
      <c r="GA106" s="30"/>
      <c r="GB106" s="30"/>
      <c r="GC106" s="30"/>
      <c r="GD106" s="30"/>
      <c r="GE106" s="30"/>
      <c r="GF106" s="30"/>
      <c r="GG106" s="30"/>
      <c r="GH106" s="30"/>
      <c r="GI106" s="30"/>
      <c r="GJ106" s="30"/>
      <c r="GK106" s="30"/>
      <c r="GL106" s="30"/>
      <c r="GM106" s="30"/>
      <c r="GN106" s="30"/>
      <c r="GO106" s="30"/>
      <c r="GP106" s="30"/>
      <c r="GQ106" s="30"/>
      <c r="GR106" s="30"/>
      <c r="GS106" s="30"/>
      <c r="GZ106" s="30"/>
      <c r="HA106" s="30"/>
      <c r="HB106" s="30"/>
      <c r="HC106" s="30"/>
      <c r="HD106" s="30"/>
      <c r="HE106" s="30"/>
      <c r="HF106" s="30"/>
      <c r="HG106" s="30"/>
      <c r="HH106" s="30"/>
      <c r="HI106" s="30"/>
      <c r="HJ106" s="30"/>
      <c r="HK106" s="30"/>
      <c r="HL106" s="30"/>
      <c r="HM106" s="30"/>
      <c r="HN106" s="131"/>
    </row>
    <row r="107" spans="1:229" hidden="1" outlineLevel="1" x14ac:dyDescent="0.2">
      <c r="A107" s="101" t="s">
        <v>72</v>
      </c>
      <c r="B107" s="101"/>
      <c r="C107" s="101"/>
      <c r="D107" s="101"/>
      <c r="BB107" s="30"/>
      <c r="BC107" s="30"/>
      <c r="BD107" s="30"/>
      <c r="BE107" s="30"/>
      <c r="BF107" s="30"/>
      <c r="BG107" s="30"/>
      <c r="BH107" s="30"/>
      <c r="BI107" s="30"/>
      <c r="BJ107" s="30"/>
      <c r="BK107" s="30"/>
      <c r="BL107" s="30"/>
      <c r="BM107" s="30"/>
      <c r="BN107" s="30"/>
      <c r="BO107" s="30"/>
      <c r="BP107" s="30"/>
      <c r="BQ107" s="30"/>
      <c r="BR107" s="30"/>
      <c r="BS107" s="30"/>
      <c r="BT107" s="30"/>
      <c r="BU107" s="30"/>
      <c r="BV107" s="30"/>
      <c r="CK107" s="30"/>
      <c r="CL107" s="30"/>
      <c r="CM107" s="30"/>
      <c r="CN107" s="30"/>
      <c r="CO107" s="30"/>
      <c r="CP107" s="30"/>
      <c r="CQ107" s="30"/>
      <c r="CR107" s="30"/>
      <c r="CS107" s="30"/>
      <c r="CT107" s="30"/>
      <c r="CU107" s="30"/>
      <c r="CV107" s="30"/>
      <c r="CW107" s="30"/>
      <c r="CX107" s="30"/>
      <c r="CY107" s="30"/>
      <c r="CZ107" s="30"/>
      <c r="DA107" s="30"/>
      <c r="DB107" s="30"/>
      <c r="DC107" s="30"/>
      <c r="DD107" s="30"/>
      <c r="DE107" s="30"/>
      <c r="DF107" s="30"/>
      <c r="DG107" s="30"/>
      <c r="DH107" s="30"/>
      <c r="DI107" s="30"/>
      <c r="DJ107" s="30"/>
      <c r="DK107" s="30"/>
      <c r="DL107" s="30"/>
      <c r="DM107" s="30"/>
      <c r="DN107" s="30"/>
      <c r="DO107" s="30"/>
      <c r="DP107" s="30"/>
      <c r="DQ107" s="30"/>
      <c r="DR107" s="30"/>
      <c r="DS107" s="30"/>
      <c r="DT107" s="30"/>
      <c r="DU107" s="30"/>
      <c r="DV107" s="30"/>
      <c r="DW107" s="30"/>
      <c r="DX107" s="30"/>
      <c r="DY107" s="30"/>
      <c r="DZ107" s="30"/>
      <c r="EA107" s="30"/>
      <c r="EB107" s="30"/>
      <c r="EC107" s="30"/>
      <c r="ED107" s="30"/>
      <c r="EE107" s="30"/>
      <c r="EF107" s="30"/>
      <c r="EG107" s="30"/>
      <c r="EH107" s="30"/>
      <c r="EI107" s="30"/>
      <c r="EJ107" s="30"/>
      <c r="EK107" s="30"/>
      <c r="EL107" s="30"/>
      <c r="EM107" s="30"/>
      <c r="EN107" s="30"/>
      <c r="EO107" s="30"/>
      <c r="EP107" s="30"/>
      <c r="EQ107" s="30"/>
      <c r="ER107" s="30"/>
      <c r="ES107" s="30"/>
      <c r="ET107" s="30"/>
      <c r="EU107" s="30"/>
      <c r="EV107" s="30"/>
      <c r="EW107" s="30"/>
      <c r="EX107" s="30"/>
      <c r="EY107" s="30"/>
      <c r="EZ107" s="30"/>
      <c r="FA107" s="30"/>
      <c r="FB107" s="30"/>
      <c r="FC107" s="30"/>
      <c r="FD107" s="30"/>
      <c r="FE107" s="30"/>
      <c r="FF107" s="30"/>
      <c r="FG107" s="30"/>
      <c r="FH107" s="30"/>
      <c r="FI107" s="30"/>
      <c r="FJ107" s="30"/>
      <c r="FK107" s="30"/>
      <c r="FL107" s="30"/>
      <c r="FM107" s="30"/>
      <c r="FN107" s="30"/>
      <c r="FO107" s="30"/>
      <c r="FP107" s="30"/>
      <c r="FQ107" s="30"/>
      <c r="FR107" s="30"/>
      <c r="FS107" s="30"/>
      <c r="FT107" s="30"/>
      <c r="FU107" s="30"/>
      <c r="FV107" s="30"/>
      <c r="FW107" s="30"/>
      <c r="FX107" s="30"/>
      <c r="FY107" s="30"/>
      <c r="FZ107" s="30"/>
      <c r="GA107" s="30"/>
      <c r="GB107" s="30"/>
      <c r="GC107" s="30"/>
      <c r="GD107" s="30"/>
      <c r="GE107" s="30"/>
      <c r="GF107" s="30"/>
      <c r="GG107" s="30"/>
      <c r="GH107" s="30"/>
      <c r="GI107" s="30"/>
      <c r="GJ107" s="30"/>
      <c r="GK107" s="30"/>
      <c r="GL107" s="30"/>
      <c r="GM107" s="30"/>
      <c r="GN107" s="30"/>
      <c r="GO107" s="30"/>
      <c r="GP107" s="30"/>
      <c r="GQ107" s="30"/>
      <c r="GR107" s="30"/>
      <c r="GS107" s="30"/>
      <c r="GZ107" s="30"/>
      <c r="HA107" s="30"/>
      <c r="HB107" s="30"/>
      <c r="HC107" s="30"/>
      <c r="HD107" s="30"/>
      <c r="HE107" s="30"/>
      <c r="HF107" s="30"/>
      <c r="HG107" s="30"/>
      <c r="HH107" s="30"/>
      <c r="HI107" s="30"/>
      <c r="HJ107" s="30"/>
      <c r="HK107" s="30"/>
      <c r="HL107" s="30"/>
      <c r="HM107" s="30"/>
      <c r="HN107" s="131"/>
    </row>
    <row r="108" spans="1:229" ht="25.5" collapsed="1" x14ac:dyDescent="0.2">
      <c r="A108" s="106" t="s">
        <v>399</v>
      </c>
      <c r="B108" s="138">
        <v>41196</v>
      </c>
      <c r="C108" s="138">
        <v>41209</v>
      </c>
      <c r="D108" s="106">
        <v>2</v>
      </c>
      <c r="BB108" s="30"/>
      <c r="BC108" s="30"/>
      <c r="BD108" s="30"/>
      <c r="BE108" s="30"/>
      <c r="BF108" s="30"/>
      <c r="BG108" s="30"/>
      <c r="BH108" s="30"/>
      <c r="BI108" s="30"/>
      <c r="BJ108" s="30"/>
      <c r="BK108" s="30"/>
      <c r="BL108" s="30"/>
      <c r="BM108" s="30"/>
      <c r="BN108" s="30"/>
      <c r="BO108" s="30"/>
      <c r="BP108" s="30"/>
      <c r="BQ108" s="30"/>
      <c r="BR108" s="30"/>
      <c r="BS108" s="30"/>
      <c r="BT108" s="30"/>
      <c r="BU108" s="30"/>
      <c r="BV108" s="30"/>
      <c r="CK108" s="30"/>
      <c r="CL108" s="30"/>
      <c r="CM108" s="30"/>
      <c r="CN108" s="30"/>
      <c r="CO108" s="30"/>
      <c r="CP108" s="30"/>
      <c r="CQ108" s="30"/>
      <c r="CR108" s="30"/>
      <c r="CS108" s="30"/>
      <c r="CT108" s="30"/>
      <c r="CU108" s="30"/>
      <c r="CV108" s="30"/>
      <c r="CW108" s="30"/>
      <c r="CX108" s="30"/>
      <c r="CY108" s="30"/>
      <c r="CZ108" s="30"/>
      <c r="DA108" s="30"/>
      <c r="DB108" s="30"/>
      <c r="DC108" s="30"/>
      <c r="DD108" s="30"/>
      <c r="DE108" s="30"/>
      <c r="DF108" s="30"/>
      <c r="DG108" s="30"/>
      <c r="DH108" s="30"/>
      <c r="DI108" s="30"/>
      <c r="DJ108" s="30"/>
      <c r="DK108" s="30"/>
      <c r="DL108" s="30"/>
      <c r="DM108" s="30"/>
      <c r="DN108" s="30"/>
      <c r="DO108" s="30"/>
      <c r="DP108" s="30"/>
      <c r="DQ108" s="30"/>
      <c r="DR108" s="30"/>
      <c r="DS108" s="30"/>
      <c r="DT108" s="30"/>
      <c r="DU108" s="30"/>
      <c r="DV108" s="30"/>
      <c r="DW108" s="30"/>
      <c r="DX108" s="30"/>
      <c r="DY108" s="30"/>
      <c r="DZ108" s="30"/>
      <c r="EA108" s="30"/>
      <c r="EB108" s="30"/>
      <c r="EC108" s="30"/>
      <c r="ED108" s="30"/>
      <c r="EE108" s="30"/>
      <c r="EF108" s="30"/>
      <c r="EG108" s="30"/>
      <c r="EH108" s="30"/>
      <c r="EI108" s="30"/>
      <c r="EJ108" s="30"/>
      <c r="EK108" s="30"/>
      <c r="EL108" s="30"/>
      <c r="EM108" s="30"/>
      <c r="EN108" s="30"/>
      <c r="EO108" s="30"/>
      <c r="EP108" s="30"/>
      <c r="EQ108" s="30"/>
      <c r="ER108" s="30"/>
      <c r="ES108" s="30"/>
      <c r="ET108" s="30"/>
      <c r="EU108" s="30"/>
      <c r="EV108" s="30"/>
      <c r="EW108" s="30"/>
      <c r="EX108" s="30"/>
      <c r="EY108" s="30"/>
      <c r="EZ108" s="30"/>
      <c r="FA108" s="30"/>
      <c r="FB108" s="30"/>
      <c r="FC108" s="30"/>
      <c r="FD108" s="30"/>
      <c r="FE108" s="30"/>
      <c r="FF108" s="30"/>
      <c r="FG108" s="30"/>
      <c r="FH108" s="30"/>
      <c r="FI108" s="30"/>
      <c r="FJ108" s="30"/>
      <c r="FK108" s="30"/>
      <c r="FL108" s="30"/>
      <c r="FM108" s="30"/>
      <c r="FN108" s="30"/>
      <c r="FO108" s="30"/>
      <c r="FP108" s="30"/>
      <c r="FQ108" s="30"/>
      <c r="FR108" s="30"/>
      <c r="FS108" s="30"/>
      <c r="FT108" s="30"/>
      <c r="FU108" s="30"/>
      <c r="FV108" s="30"/>
      <c r="FW108" s="30"/>
      <c r="FX108" s="30"/>
      <c r="FY108" s="30"/>
      <c r="FZ108" s="30"/>
      <c r="GA108" s="30"/>
      <c r="GB108" s="30"/>
      <c r="GC108" s="30"/>
      <c r="GD108" s="30"/>
      <c r="GE108" s="30"/>
      <c r="GF108" s="30"/>
      <c r="GG108" s="30"/>
      <c r="GH108" s="30"/>
      <c r="GI108" s="30"/>
      <c r="GJ108" s="30"/>
      <c r="GK108" s="30"/>
      <c r="GL108" s="30"/>
      <c r="GM108" s="30"/>
      <c r="GN108" s="30"/>
      <c r="GO108" s="30"/>
      <c r="GP108" s="30"/>
      <c r="GQ108" s="30"/>
      <c r="GR108" s="30"/>
      <c r="GS108" s="30"/>
      <c r="GZ108" s="30"/>
      <c r="HA108" s="30"/>
      <c r="HB108" s="30"/>
      <c r="HC108" s="30"/>
      <c r="HD108" s="30"/>
      <c r="HE108" s="30"/>
      <c r="HF108" s="30"/>
      <c r="HN108" s="122"/>
      <c r="HO108" s="123"/>
      <c r="HP108" s="123"/>
      <c r="HQ108" s="123"/>
      <c r="HR108" s="123"/>
      <c r="HS108" s="123"/>
      <c r="HT108" s="122"/>
      <c r="HU108" s="123"/>
    </row>
    <row r="109" spans="1:229" ht="25.5" hidden="1" outlineLevel="1" x14ac:dyDescent="0.2">
      <c r="A109" s="101" t="s">
        <v>263</v>
      </c>
      <c r="B109" s="101"/>
      <c r="C109" s="101"/>
      <c r="D109" s="101"/>
      <c r="GS109" s="131"/>
      <c r="GZ109" s="30"/>
      <c r="HA109" s="30"/>
      <c r="HB109" s="30"/>
      <c r="HC109" s="30"/>
      <c r="HD109" s="30"/>
      <c r="HE109" s="30"/>
      <c r="HF109" s="30"/>
      <c r="HN109" s="122"/>
      <c r="HO109" s="123"/>
      <c r="HP109" s="123"/>
      <c r="HQ109" s="123"/>
      <c r="HR109" s="123"/>
      <c r="HS109" s="123"/>
      <c r="HT109" s="122"/>
      <c r="HU109" s="123"/>
    </row>
    <row r="110" spans="1:229" hidden="1" outlineLevel="1" x14ac:dyDescent="0.2">
      <c r="A110" s="101" t="s">
        <v>264</v>
      </c>
      <c r="B110" s="101"/>
      <c r="C110" s="101"/>
      <c r="D110" s="101"/>
      <c r="GS110" s="131"/>
      <c r="GZ110" s="30"/>
      <c r="HA110" s="30"/>
      <c r="HB110" s="30"/>
      <c r="HC110" s="30"/>
      <c r="HD110" s="30"/>
      <c r="HE110" s="30"/>
      <c r="HF110" s="30"/>
      <c r="HN110" s="122"/>
      <c r="HO110" s="123"/>
      <c r="HP110" s="123"/>
      <c r="HQ110" s="123"/>
      <c r="HR110" s="123"/>
      <c r="HS110" s="123"/>
      <c r="HT110" s="122"/>
      <c r="HU110" s="123"/>
    </row>
    <row r="111" spans="1:229" hidden="1" outlineLevel="1" x14ac:dyDescent="0.2">
      <c r="A111" s="101" t="s">
        <v>61</v>
      </c>
      <c r="B111" s="101"/>
      <c r="C111" s="101"/>
      <c r="D111" s="101"/>
      <c r="GS111" s="131"/>
      <c r="GZ111" s="30"/>
      <c r="HA111" s="30"/>
      <c r="HB111" s="30"/>
      <c r="HC111" s="30"/>
      <c r="HD111" s="30"/>
      <c r="HE111" s="30"/>
      <c r="HF111" s="30"/>
      <c r="HN111" s="122"/>
      <c r="HO111" s="123"/>
      <c r="HP111" s="123"/>
      <c r="HQ111" s="123"/>
      <c r="HR111" s="123"/>
      <c r="HS111" s="123"/>
      <c r="HT111" s="122"/>
      <c r="HU111" s="123"/>
    </row>
    <row r="112" spans="1:229" hidden="1" outlineLevel="1" x14ac:dyDescent="0.2">
      <c r="A112" s="101" t="s">
        <v>257</v>
      </c>
      <c r="B112" s="101"/>
      <c r="C112" s="101"/>
      <c r="D112" s="101"/>
      <c r="GS112" s="131"/>
      <c r="GZ112" s="30"/>
      <c r="HA112" s="30"/>
      <c r="HB112" s="30"/>
      <c r="HC112" s="30"/>
      <c r="HD112" s="30"/>
      <c r="HE112" s="30"/>
      <c r="HF112" s="30"/>
      <c r="HN112" s="122"/>
      <c r="HO112" s="123"/>
      <c r="HP112" s="123"/>
      <c r="HQ112" s="123"/>
      <c r="HR112" s="123"/>
      <c r="HS112" s="123"/>
      <c r="HT112" s="122"/>
      <c r="HU112" s="123"/>
    </row>
    <row r="113" spans="1:229" collapsed="1" x14ac:dyDescent="0.2">
      <c r="A113" s="106" t="s">
        <v>367</v>
      </c>
      <c r="B113" s="138">
        <v>41196</v>
      </c>
      <c r="C113" s="138">
        <v>41209</v>
      </c>
      <c r="D113" s="108">
        <v>2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  <c r="BJ113" s="30"/>
      <c r="BK113" s="30"/>
      <c r="BL113" s="30"/>
      <c r="BM113" s="30"/>
      <c r="BN113" s="30"/>
      <c r="BO113" s="30"/>
      <c r="BP113" s="30"/>
      <c r="BQ113" s="30"/>
      <c r="BR113" s="30"/>
      <c r="BS113" s="30"/>
      <c r="BT113" s="30"/>
      <c r="BU113" s="30"/>
      <c r="BV113" s="30"/>
      <c r="CK113" s="30"/>
      <c r="CL113" s="30"/>
      <c r="CM113" s="30"/>
      <c r="CN113" s="30"/>
      <c r="CO113" s="30"/>
      <c r="CP113" s="30"/>
      <c r="CQ113" s="30"/>
      <c r="CR113" s="30"/>
      <c r="CS113" s="30"/>
      <c r="CT113" s="30"/>
      <c r="CU113" s="30"/>
      <c r="CV113" s="30"/>
      <c r="CW113" s="30"/>
      <c r="CX113" s="30"/>
      <c r="CY113" s="30"/>
      <c r="CZ113" s="30"/>
      <c r="DA113" s="30"/>
      <c r="DB113" s="30"/>
      <c r="DC113" s="30"/>
      <c r="DD113" s="30"/>
      <c r="DE113" s="30"/>
      <c r="DF113" s="30"/>
      <c r="DG113" s="30"/>
      <c r="DH113" s="30"/>
      <c r="DI113" s="30"/>
      <c r="DJ113" s="30"/>
      <c r="DK113" s="30"/>
      <c r="DL113" s="30"/>
      <c r="DM113" s="30"/>
      <c r="DN113" s="30"/>
      <c r="DO113" s="30"/>
      <c r="DP113" s="30"/>
      <c r="DQ113" s="30"/>
      <c r="DR113" s="30"/>
      <c r="DS113" s="30"/>
      <c r="DT113" s="30"/>
      <c r="DU113" s="30"/>
      <c r="DV113" s="30"/>
      <c r="DW113" s="30"/>
      <c r="DX113" s="30"/>
      <c r="DY113" s="30"/>
      <c r="DZ113" s="30"/>
      <c r="EA113" s="30"/>
      <c r="EB113" s="30"/>
      <c r="EC113" s="30"/>
      <c r="ED113" s="30"/>
      <c r="EE113" s="30"/>
      <c r="EF113" s="30"/>
      <c r="EG113" s="30"/>
      <c r="EH113" s="30"/>
      <c r="EI113" s="30"/>
      <c r="EJ113" s="30"/>
      <c r="EK113" s="30"/>
      <c r="EL113" s="30"/>
      <c r="EM113" s="30"/>
      <c r="EN113" s="30"/>
      <c r="EO113" s="30"/>
      <c r="EP113" s="30"/>
      <c r="EQ113" s="30"/>
      <c r="ER113" s="30"/>
      <c r="ES113" s="30"/>
      <c r="ET113" s="30"/>
      <c r="EU113" s="30"/>
      <c r="EV113" s="30"/>
      <c r="EW113" s="30"/>
      <c r="EX113" s="30"/>
      <c r="EY113" s="30"/>
      <c r="EZ113" s="30"/>
      <c r="FA113" s="30"/>
      <c r="FB113" s="30"/>
      <c r="FC113" s="30"/>
      <c r="FD113" s="30"/>
      <c r="FE113" s="30"/>
      <c r="FF113" s="30"/>
      <c r="FG113" s="30"/>
      <c r="FH113" s="30"/>
      <c r="FI113" s="30"/>
      <c r="FJ113" s="30"/>
      <c r="FK113" s="30"/>
      <c r="FL113" s="30"/>
      <c r="FM113" s="30"/>
      <c r="FN113" s="30"/>
      <c r="FO113" s="30"/>
      <c r="FP113" s="30"/>
      <c r="FQ113" s="30"/>
      <c r="FR113" s="30"/>
      <c r="FS113" s="30"/>
      <c r="FT113" s="30"/>
      <c r="FU113" s="30"/>
      <c r="FV113" s="30"/>
      <c r="FW113" s="30"/>
      <c r="FX113" s="30"/>
      <c r="FY113" s="30"/>
      <c r="FZ113" s="30"/>
      <c r="GA113" s="30"/>
      <c r="GB113" s="30"/>
      <c r="GC113" s="30"/>
      <c r="GD113" s="30"/>
      <c r="GE113" s="30"/>
      <c r="GF113" s="30"/>
      <c r="GG113" s="30"/>
      <c r="GH113" s="30"/>
      <c r="GI113" s="30"/>
      <c r="GJ113" s="30"/>
      <c r="GK113" s="30"/>
      <c r="GL113" s="30"/>
      <c r="GM113" s="30"/>
      <c r="GN113" s="30"/>
      <c r="GO113" s="30"/>
      <c r="GP113" s="30"/>
      <c r="GQ113" s="30"/>
      <c r="GR113" s="30"/>
      <c r="GS113" s="30"/>
      <c r="GT113" s="30"/>
      <c r="GU113" s="30"/>
      <c r="GV113" s="30"/>
      <c r="GW113" s="30"/>
      <c r="GX113" s="30"/>
      <c r="GY113" s="30"/>
      <c r="GZ113" s="30"/>
      <c r="HA113" s="30"/>
      <c r="HB113" s="30"/>
      <c r="HC113" s="30"/>
      <c r="HD113" s="30"/>
      <c r="HE113" s="30"/>
      <c r="HF113" s="30"/>
      <c r="HN113" s="122"/>
      <c r="HO113" s="122"/>
      <c r="HP113" s="122"/>
      <c r="HQ113" s="122"/>
      <c r="HR113" s="122"/>
      <c r="HS113" s="122"/>
      <c r="HT113" s="122"/>
      <c r="HU113" s="122"/>
    </row>
    <row r="114" spans="1:229" hidden="1" outlineLevel="2" x14ac:dyDescent="0.2">
      <c r="A114" s="100" t="s">
        <v>307</v>
      </c>
      <c r="B114" s="100"/>
      <c r="C114" s="100"/>
      <c r="D114" s="149"/>
      <c r="GS114" s="30"/>
      <c r="GZ114" s="30"/>
    </row>
    <row r="115" spans="1:229" collapsed="1" x14ac:dyDescent="0.2">
      <c r="D115" s="159"/>
      <c r="GS115" s="30"/>
      <c r="GT115" s="30"/>
      <c r="GU115" s="30"/>
      <c r="GV115" s="30"/>
      <c r="GW115" s="30"/>
      <c r="GX115" s="30"/>
      <c r="GY115" s="30"/>
      <c r="GZ115" s="30"/>
    </row>
    <row r="116" spans="1:229" x14ac:dyDescent="0.2">
      <c r="A116" s="23" t="s">
        <v>13</v>
      </c>
    </row>
    <row r="117" spans="1:229" x14ac:dyDescent="0.2">
      <c r="A117" s="145" t="s">
        <v>7</v>
      </c>
      <c r="AN117" s="151"/>
      <c r="BB117" s="4" t="s">
        <v>409</v>
      </c>
    </row>
    <row r="119" spans="1:229" x14ac:dyDescent="0.2">
      <c r="AN119" s="150"/>
      <c r="BB119" s="4" t="s">
        <v>410</v>
      </c>
    </row>
    <row r="121" spans="1:229" x14ac:dyDescent="0.2">
      <c r="AN121" t="s">
        <v>411</v>
      </c>
      <c r="BB121" t="s">
        <v>412</v>
      </c>
    </row>
  </sheetData>
  <mergeCells count="21">
    <mergeCell ref="HG2:HM2"/>
    <mergeCell ref="GE2:GK2"/>
    <mergeCell ref="GL2:GR2"/>
    <mergeCell ref="GS2:GY2"/>
    <mergeCell ref="GZ2:HF2"/>
    <mergeCell ref="FX2:GD2"/>
    <mergeCell ref="FQ2:FW2"/>
    <mergeCell ref="FJ2:FP2"/>
    <mergeCell ref="FC2:FI2"/>
    <mergeCell ref="CD2:CJ2"/>
    <mergeCell ref="BW2:CC2"/>
    <mergeCell ref="E2:K2"/>
    <mergeCell ref="L2:R2"/>
    <mergeCell ref="S2:Y2"/>
    <mergeCell ref="Z2:AF2"/>
    <mergeCell ref="AG2:AM2"/>
    <mergeCell ref="AN2:AT2"/>
    <mergeCell ref="AU2:BA2"/>
    <mergeCell ref="BB2:BH2"/>
    <mergeCell ref="BI2:BO2"/>
    <mergeCell ref="BP2:BV2"/>
  </mergeCells>
  <pageMargins left="0.7" right="0.7" top="0.75" bottom="0.75" header="0.3" footer="0.3"/>
  <pageSetup paperSize="3" scale="31" orientation="landscape" r:id="rId1"/>
  <headerFooter>
    <oddHeader>&amp;L23416 Navajo Schedule&amp;CPage &amp;P&amp;R&amp;D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0"/>
  <sheetViews>
    <sheetView topLeftCell="A17" zoomScaleNormal="100" workbookViewId="0">
      <selection activeCell="J103" sqref="J103"/>
    </sheetView>
  </sheetViews>
  <sheetFormatPr defaultColWidth="8.85546875" defaultRowHeight="12.75" x14ac:dyDescent="0.2"/>
  <cols>
    <col min="1" max="1" width="32" customWidth="1"/>
    <col min="2" max="2" width="14.85546875" customWidth="1"/>
    <col min="3" max="3" width="14.42578125" customWidth="1"/>
    <col min="4" max="4" width="26.7109375" customWidth="1"/>
    <col min="6" max="6" width="30.7109375" customWidth="1"/>
    <col min="7" max="7" width="4.85546875" customWidth="1"/>
    <col min="8" max="8" width="12.5703125" customWidth="1"/>
    <col min="9" max="9" width="14.28515625" customWidth="1"/>
    <col min="10" max="11" width="14.7109375" customWidth="1"/>
    <col min="12" max="12" width="26.28515625" customWidth="1"/>
    <col min="13" max="13" width="23.28515625" customWidth="1"/>
    <col min="14" max="14" width="9.85546875" bestFit="1" customWidth="1"/>
    <col min="15" max="15" width="10.85546875" bestFit="1" customWidth="1"/>
    <col min="16" max="16" width="10.85546875" customWidth="1"/>
    <col min="17" max="17" width="14.42578125" customWidth="1"/>
    <col min="18" max="18" width="13.28515625" customWidth="1"/>
    <col min="19" max="19" width="4" customWidth="1"/>
    <col min="20" max="20" width="23.85546875" customWidth="1"/>
    <col min="21" max="21" width="6.7109375" customWidth="1"/>
    <col min="22" max="22" width="5.85546875" customWidth="1"/>
    <col min="23" max="23" width="6.28515625" customWidth="1"/>
    <col min="24" max="24" width="19.85546875" customWidth="1"/>
    <col min="25" max="25" width="9.7109375" customWidth="1"/>
    <col min="29" max="29" width="32.5703125" customWidth="1"/>
    <col min="30" max="30" width="12.28515625" customWidth="1"/>
    <col min="31" max="31" width="6.7109375" customWidth="1"/>
    <col min="32" max="32" width="9.42578125" customWidth="1"/>
    <col min="33" max="33" width="13.7109375" bestFit="1" customWidth="1"/>
  </cols>
  <sheetData>
    <row r="1" spans="1:33" s="80" customFormat="1" x14ac:dyDescent="0.2">
      <c r="A1" s="78" t="s">
        <v>185</v>
      </c>
      <c r="B1" s="79"/>
      <c r="C1" s="79"/>
      <c r="D1" s="79"/>
      <c r="E1" s="79"/>
      <c r="F1" s="78" t="s">
        <v>199</v>
      </c>
      <c r="G1" s="79"/>
      <c r="H1" s="79"/>
      <c r="L1" s="78" t="s">
        <v>210</v>
      </c>
      <c r="R1" s="78" t="s">
        <v>205</v>
      </c>
      <c r="T1" s="79"/>
      <c r="U1" s="79"/>
      <c r="V1" s="79"/>
      <c r="W1"/>
      <c r="X1"/>
      <c r="Y1"/>
      <c r="AC1" s="78" t="s">
        <v>200</v>
      </c>
      <c r="AD1" s="79"/>
    </row>
    <row r="2" spans="1:33" x14ac:dyDescent="0.2">
      <c r="A2" s="63"/>
      <c r="B2" s="30"/>
      <c r="C2" s="30"/>
      <c r="D2" s="30"/>
      <c r="E2" s="30"/>
      <c r="F2" s="30"/>
      <c r="G2" s="30"/>
      <c r="H2" s="30"/>
      <c r="I2" s="30"/>
      <c r="J2" s="30"/>
      <c r="K2" s="30"/>
      <c r="R2" s="30"/>
      <c r="S2" s="30"/>
      <c r="T2" s="30"/>
      <c r="U2" s="30"/>
      <c r="V2" s="30"/>
      <c r="AC2" s="30"/>
      <c r="AD2" s="30"/>
    </row>
    <row r="3" spans="1:33" x14ac:dyDescent="0.2">
      <c r="A3" s="11" t="s">
        <v>113</v>
      </c>
      <c r="B3" s="11"/>
      <c r="C3" s="11"/>
      <c r="D3" s="30"/>
      <c r="E3" s="30"/>
      <c r="F3" s="30" t="s">
        <v>149</v>
      </c>
      <c r="G3" s="30"/>
      <c r="H3" s="30"/>
      <c r="I3" s="30"/>
      <c r="J3" s="30"/>
      <c r="K3" s="30"/>
      <c r="L3" s="11" t="s">
        <v>211</v>
      </c>
      <c r="M3" s="11" t="s">
        <v>17</v>
      </c>
      <c r="R3" s="30"/>
      <c r="S3" s="30"/>
      <c r="T3" s="30"/>
      <c r="U3" s="30"/>
      <c r="V3" s="30"/>
      <c r="AC3" s="30"/>
      <c r="AD3" s="30"/>
    </row>
    <row r="4" spans="1:33" x14ac:dyDescent="0.2">
      <c r="A4" s="11" t="s">
        <v>114</v>
      </c>
      <c r="B4" s="11" t="s">
        <v>115</v>
      </c>
      <c r="C4" s="11" t="s">
        <v>127</v>
      </c>
      <c r="D4" s="30"/>
      <c r="E4" s="30"/>
      <c r="F4" s="30"/>
      <c r="G4" s="30"/>
      <c r="H4" s="30"/>
      <c r="I4" s="30"/>
      <c r="J4" s="30"/>
      <c r="K4" s="30"/>
      <c r="L4" s="11" t="s">
        <v>212</v>
      </c>
      <c r="M4" s="11">
        <v>193</v>
      </c>
      <c r="R4" t="s">
        <v>214</v>
      </c>
      <c r="T4" s="30"/>
      <c r="U4" s="30"/>
      <c r="V4" s="30"/>
      <c r="AC4" s="30"/>
      <c r="AD4" s="30"/>
    </row>
    <row r="5" spans="1:33" x14ac:dyDescent="0.2">
      <c r="A5" s="11"/>
      <c r="B5" s="11"/>
      <c r="C5" s="11"/>
      <c r="D5" s="30"/>
      <c r="E5" s="30"/>
      <c r="F5" s="30"/>
      <c r="G5" s="30"/>
      <c r="H5" s="30"/>
      <c r="I5" s="10" t="s">
        <v>246</v>
      </c>
      <c r="J5" s="11"/>
      <c r="L5" s="11" t="s">
        <v>212</v>
      </c>
      <c r="M5" s="11">
        <v>385</v>
      </c>
      <c r="N5">
        <f>M5+M4</f>
        <v>578</v>
      </c>
      <c r="R5" s="11" t="s">
        <v>215</v>
      </c>
      <c r="S5" s="11" t="s">
        <v>139</v>
      </c>
      <c r="T5" s="11" t="s">
        <v>216</v>
      </c>
      <c r="U5" s="11" t="s">
        <v>217</v>
      </c>
      <c r="V5" s="30"/>
      <c r="W5" s="11" t="s">
        <v>231</v>
      </c>
      <c r="X5" s="11"/>
      <c r="Y5" s="11"/>
      <c r="Z5" s="11"/>
      <c r="AA5" s="11"/>
      <c r="AB5" s="30"/>
      <c r="AC5" s="30" t="s">
        <v>238</v>
      </c>
    </row>
    <row r="6" spans="1:33" x14ac:dyDescent="0.2">
      <c r="A6" s="11" t="s">
        <v>116</v>
      </c>
      <c r="B6" s="11" t="s">
        <v>125</v>
      </c>
      <c r="C6" s="11">
        <v>8</v>
      </c>
      <c r="D6" s="30"/>
      <c r="E6" s="30"/>
      <c r="F6" s="11" t="s">
        <v>261</v>
      </c>
      <c r="G6" s="11">
        <v>8</v>
      </c>
      <c r="H6" s="30"/>
      <c r="I6" s="11"/>
      <c r="J6" s="11">
        <v>182</v>
      </c>
      <c r="L6" s="11" t="s">
        <v>213</v>
      </c>
      <c r="M6" s="11">
        <v>585</v>
      </c>
      <c r="N6">
        <f>M6</f>
        <v>585</v>
      </c>
      <c r="R6" s="11"/>
      <c r="S6" s="11"/>
      <c r="T6" s="11"/>
      <c r="U6" s="11"/>
      <c r="V6" s="30"/>
      <c r="W6" s="11" t="s">
        <v>232</v>
      </c>
      <c r="X6" s="11" t="s">
        <v>115</v>
      </c>
      <c r="Y6" s="11"/>
      <c r="Z6" s="11"/>
      <c r="AA6" s="11"/>
      <c r="AB6" s="30"/>
      <c r="AC6" s="30" t="s">
        <v>114</v>
      </c>
      <c r="AD6" t="s">
        <v>115</v>
      </c>
      <c r="AE6" t="s">
        <v>239</v>
      </c>
      <c r="AF6" t="s">
        <v>139</v>
      </c>
      <c r="AG6" t="s">
        <v>215</v>
      </c>
    </row>
    <row r="7" spans="1:33" ht="15" x14ac:dyDescent="0.25">
      <c r="A7" s="11" t="s">
        <v>116</v>
      </c>
      <c r="B7" s="11" t="s">
        <v>125</v>
      </c>
      <c r="C7" s="11">
        <v>8</v>
      </c>
      <c r="D7" s="30"/>
      <c r="E7" s="30"/>
      <c r="F7" s="11" t="s">
        <v>261</v>
      </c>
      <c r="G7" s="46">
        <v>8</v>
      </c>
      <c r="H7" s="30"/>
      <c r="I7" s="11"/>
      <c r="J7" s="11">
        <v>406</v>
      </c>
      <c r="L7" s="73" t="s">
        <v>7</v>
      </c>
      <c r="M7" s="14">
        <f>SUM(M4:M6)</f>
        <v>1163</v>
      </c>
      <c r="R7" s="11" t="s">
        <v>6</v>
      </c>
      <c r="S7" s="11">
        <v>7</v>
      </c>
      <c r="T7" s="11" t="s">
        <v>218</v>
      </c>
      <c r="U7" s="11" t="s">
        <v>219</v>
      </c>
      <c r="V7" s="30"/>
      <c r="W7" s="11"/>
      <c r="X7" s="11"/>
      <c r="Y7" s="11"/>
      <c r="Z7" s="11"/>
      <c r="AA7" s="11"/>
      <c r="AB7" s="30"/>
      <c r="AC7" s="30"/>
    </row>
    <row r="8" spans="1:33" x14ac:dyDescent="0.2">
      <c r="A8" s="11" t="s">
        <v>116</v>
      </c>
      <c r="B8" s="11" t="s">
        <v>125</v>
      </c>
      <c r="C8" s="11">
        <v>8</v>
      </c>
      <c r="D8" s="30"/>
      <c r="E8" s="30"/>
      <c r="F8" s="11" t="s">
        <v>261</v>
      </c>
      <c r="G8" s="11">
        <v>34</v>
      </c>
      <c r="H8" s="30"/>
      <c r="I8" s="11"/>
      <c r="J8" s="11">
        <v>180</v>
      </c>
      <c r="R8" s="11" t="s">
        <v>6</v>
      </c>
      <c r="S8" s="11">
        <v>4</v>
      </c>
      <c r="T8" s="11" t="s">
        <v>220</v>
      </c>
      <c r="U8" s="11" t="s">
        <v>219</v>
      </c>
      <c r="V8" s="30"/>
      <c r="W8" s="11" t="s">
        <v>233</v>
      </c>
      <c r="X8" s="11">
        <v>4.78</v>
      </c>
      <c r="Y8" s="11"/>
      <c r="Z8" s="11" t="s">
        <v>233</v>
      </c>
      <c r="AA8" s="11">
        <v>2.5099999999999998</v>
      </c>
      <c r="AB8" s="30"/>
      <c r="AC8" s="11" t="s">
        <v>240</v>
      </c>
      <c r="AD8" s="11">
        <v>6.42</v>
      </c>
      <c r="AE8" s="11" t="s">
        <v>140</v>
      </c>
      <c r="AF8" s="11">
        <v>33</v>
      </c>
      <c r="AG8" s="11" t="s">
        <v>241</v>
      </c>
    </row>
    <row r="9" spans="1:33" ht="15" x14ac:dyDescent="0.25">
      <c r="A9" s="46" t="s">
        <v>116</v>
      </c>
      <c r="B9" s="11" t="s">
        <v>125</v>
      </c>
      <c r="C9" s="11">
        <v>8</v>
      </c>
      <c r="D9" s="30"/>
      <c r="E9" s="30"/>
      <c r="F9" s="11" t="s">
        <v>261</v>
      </c>
      <c r="G9" s="11">
        <v>44</v>
      </c>
      <c r="H9" s="30"/>
      <c r="I9" s="11"/>
      <c r="J9" s="11">
        <v>67</v>
      </c>
      <c r="R9" s="11" t="s">
        <v>6</v>
      </c>
      <c r="S9" s="11">
        <v>14</v>
      </c>
      <c r="T9" s="11" t="s">
        <v>218</v>
      </c>
      <c r="U9" s="11" t="s">
        <v>221</v>
      </c>
      <c r="V9" s="30"/>
      <c r="W9" s="11" t="s">
        <v>233</v>
      </c>
      <c r="X9" s="11">
        <v>2.35</v>
      </c>
      <c r="Y9" s="11"/>
      <c r="Z9" s="11" t="s">
        <v>233</v>
      </c>
      <c r="AA9" s="11">
        <v>5.03</v>
      </c>
      <c r="AB9" s="30"/>
      <c r="AC9" s="11" t="s">
        <v>240</v>
      </c>
      <c r="AD9" s="11">
        <v>3.56</v>
      </c>
      <c r="AE9" s="11" t="s">
        <v>140</v>
      </c>
      <c r="AF9" s="11">
        <v>19</v>
      </c>
      <c r="AG9" s="11" t="s">
        <v>241</v>
      </c>
    </row>
    <row r="10" spans="1:33" x14ac:dyDescent="0.2">
      <c r="A10" s="11" t="s">
        <v>116</v>
      </c>
      <c r="B10" s="11" t="s">
        <v>125</v>
      </c>
      <c r="C10" s="11">
        <v>8</v>
      </c>
      <c r="D10" s="30"/>
      <c r="E10" s="30"/>
      <c r="F10" s="11" t="s">
        <v>261</v>
      </c>
      <c r="G10" s="11">
        <v>4</v>
      </c>
      <c r="H10" s="30"/>
      <c r="I10" s="11"/>
      <c r="J10" s="11">
        <v>65</v>
      </c>
      <c r="R10" s="11" t="s">
        <v>6</v>
      </c>
      <c r="S10" s="11">
        <v>4</v>
      </c>
      <c r="T10" s="11" t="s">
        <v>222</v>
      </c>
      <c r="U10" s="11" t="s">
        <v>219</v>
      </c>
      <c r="V10" s="30"/>
      <c r="W10" s="11" t="s">
        <v>233</v>
      </c>
      <c r="X10" s="11">
        <v>2.98</v>
      </c>
      <c r="Y10" s="11"/>
      <c r="Z10" s="11" t="s">
        <v>233</v>
      </c>
      <c r="AA10" s="11">
        <v>1.83</v>
      </c>
      <c r="AB10" s="30"/>
      <c r="AC10" s="11" t="s">
        <v>240</v>
      </c>
      <c r="AD10" s="11">
        <v>7.73</v>
      </c>
      <c r="AE10" s="11" t="s">
        <v>140</v>
      </c>
      <c r="AF10" s="11">
        <v>40</v>
      </c>
      <c r="AG10" s="11" t="s">
        <v>241</v>
      </c>
    </row>
    <row r="11" spans="1:33" ht="15" x14ac:dyDescent="0.25">
      <c r="A11" s="11" t="s">
        <v>116</v>
      </c>
      <c r="B11" s="11" t="s">
        <v>123</v>
      </c>
      <c r="C11" s="11">
        <v>8</v>
      </c>
      <c r="D11" s="30"/>
      <c r="E11" s="30"/>
      <c r="F11" s="11" t="s">
        <v>261</v>
      </c>
      <c r="G11" s="11">
        <v>5</v>
      </c>
      <c r="H11" s="30"/>
      <c r="I11" s="11"/>
      <c r="J11" s="11">
        <v>200</v>
      </c>
      <c r="R11" s="11" t="s">
        <v>6</v>
      </c>
      <c r="S11" s="11">
        <v>8</v>
      </c>
      <c r="T11" s="11" t="s">
        <v>222</v>
      </c>
      <c r="U11" s="11" t="s">
        <v>221</v>
      </c>
      <c r="V11" s="30"/>
      <c r="W11" s="11" t="s">
        <v>233</v>
      </c>
      <c r="X11" s="11">
        <v>1.77</v>
      </c>
      <c r="Y11" s="11"/>
      <c r="Z11" s="11" t="s">
        <v>233</v>
      </c>
      <c r="AA11" s="11">
        <v>4</v>
      </c>
      <c r="AB11" s="47"/>
      <c r="AC11" s="84" t="s">
        <v>242</v>
      </c>
      <c r="AD11" s="11">
        <v>8</v>
      </c>
      <c r="AE11" s="11" t="s">
        <v>243</v>
      </c>
      <c r="AF11" s="11">
        <v>51</v>
      </c>
      <c r="AG11" s="11" t="s">
        <v>241</v>
      </c>
    </row>
    <row r="12" spans="1:33" ht="15" x14ac:dyDescent="0.25">
      <c r="A12" s="11" t="s">
        <v>116</v>
      </c>
      <c r="B12" s="11" t="s">
        <v>123</v>
      </c>
      <c r="C12" s="11">
        <v>8</v>
      </c>
      <c r="D12" s="47"/>
      <c r="E12" s="30"/>
      <c r="F12" s="11" t="s">
        <v>261</v>
      </c>
      <c r="G12" s="11">
        <v>19</v>
      </c>
      <c r="H12" s="30"/>
      <c r="I12" s="11"/>
      <c r="J12" s="11">
        <v>227</v>
      </c>
      <c r="R12" s="11" t="s">
        <v>6</v>
      </c>
      <c r="S12" s="11">
        <v>8</v>
      </c>
      <c r="T12" s="11" t="s">
        <v>220</v>
      </c>
      <c r="U12" s="11" t="s">
        <v>221</v>
      </c>
      <c r="V12" s="30"/>
      <c r="W12" s="11" t="s">
        <v>233</v>
      </c>
      <c r="X12" s="11">
        <v>4.8600000000000003</v>
      </c>
      <c r="Y12" s="11"/>
      <c r="Z12" s="11" t="s">
        <v>233</v>
      </c>
      <c r="AA12" s="11">
        <v>2</v>
      </c>
      <c r="AB12" s="30"/>
      <c r="AC12" s="11" t="s">
        <v>194</v>
      </c>
      <c r="AD12" s="11"/>
      <c r="AE12" s="11"/>
      <c r="AF12" s="11"/>
      <c r="AG12" s="11"/>
    </row>
    <row r="13" spans="1:33" x14ac:dyDescent="0.2">
      <c r="A13" s="11" t="s">
        <v>116</v>
      </c>
      <c r="B13" s="11" t="s">
        <v>123</v>
      </c>
      <c r="C13" s="11">
        <v>8</v>
      </c>
      <c r="D13" s="30"/>
      <c r="E13" s="30"/>
      <c r="F13" s="11" t="s">
        <v>261</v>
      </c>
      <c r="G13" s="11">
        <v>20</v>
      </c>
      <c r="H13" s="30"/>
      <c r="I13" s="14" t="s">
        <v>235</v>
      </c>
      <c r="J13" s="14">
        <f>SUM(J6:J12)</f>
        <v>1327</v>
      </c>
      <c r="K13" s="4"/>
      <c r="R13" s="11" t="s">
        <v>6</v>
      </c>
      <c r="S13" s="11">
        <v>8</v>
      </c>
      <c r="T13" s="11" t="s">
        <v>223</v>
      </c>
      <c r="U13" s="11" t="s">
        <v>219</v>
      </c>
      <c r="V13" s="30"/>
      <c r="W13" s="11" t="s">
        <v>233</v>
      </c>
      <c r="X13" s="11">
        <v>2.35</v>
      </c>
      <c r="Y13" s="11"/>
      <c r="Z13" s="11" t="s">
        <v>233</v>
      </c>
      <c r="AA13" s="11">
        <v>2.2599999999999998</v>
      </c>
      <c r="AB13" s="30"/>
      <c r="AC13" s="73" t="s">
        <v>254</v>
      </c>
      <c r="AD13" s="14">
        <f>SUM(AD8:AD12)</f>
        <v>25.71</v>
      </c>
      <c r="AE13" s="11"/>
      <c r="AF13" s="11"/>
      <c r="AG13" s="11"/>
    </row>
    <row r="14" spans="1:33" x14ac:dyDescent="0.2">
      <c r="A14" s="11" t="s">
        <v>116</v>
      </c>
      <c r="B14" s="11" t="s">
        <v>123</v>
      </c>
      <c r="C14" s="11">
        <v>8</v>
      </c>
      <c r="D14" s="30"/>
      <c r="E14" s="30"/>
      <c r="F14" s="73" t="s">
        <v>7</v>
      </c>
      <c r="G14" s="14">
        <f>SUM(G6:G13)</f>
        <v>142</v>
      </c>
      <c r="H14" s="30"/>
      <c r="I14" s="15" t="s">
        <v>236</v>
      </c>
      <c r="J14" s="15">
        <f>J13/8</f>
        <v>165.875</v>
      </c>
      <c r="R14" s="11" t="s">
        <v>6</v>
      </c>
      <c r="S14" s="11">
        <v>18</v>
      </c>
      <c r="T14" s="11" t="s">
        <v>223</v>
      </c>
      <c r="U14" s="11" t="s">
        <v>221</v>
      </c>
      <c r="V14" s="30"/>
      <c r="W14" s="11" t="s">
        <v>233</v>
      </c>
      <c r="X14" s="11">
        <v>1.83</v>
      </c>
      <c r="Y14" s="11"/>
      <c r="Z14" s="11" t="s">
        <v>233</v>
      </c>
      <c r="AA14" s="11">
        <v>4.78</v>
      </c>
      <c r="AB14" s="30"/>
      <c r="AC14" s="22" t="s">
        <v>253</v>
      </c>
      <c r="AD14" s="15">
        <f>AD8+AD9</f>
        <v>9.98</v>
      </c>
    </row>
    <row r="15" spans="1:33" x14ac:dyDescent="0.2">
      <c r="A15" s="11" t="s">
        <v>116</v>
      </c>
      <c r="B15" s="11" t="s">
        <v>126</v>
      </c>
      <c r="C15" s="11">
        <v>8</v>
      </c>
      <c r="D15" s="30"/>
      <c r="E15" s="30"/>
      <c r="H15" s="30"/>
      <c r="R15" s="11" t="s">
        <v>6</v>
      </c>
      <c r="S15" s="11">
        <v>7</v>
      </c>
      <c r="T15" s="11" t="s">
        <v>218</v>
      </c>
      <c r="U15" s="11" t="s">
        <v>219</v>
      </c>
      <c r="V15" s="30"/>
      <c r="W15" s="11" t="s">
        <v>233</v>
      </c>
      <c r="X15" s="11">
        <v>3.83</v>
      </c>
      <c r="Y15" s="11"/>
      <c r="Z15" s="11" t="s">
        <v>233</v>
      </c>
      <c r="AA15" s="11">
        <v>3.83</v>
      </c>
      <c r="AB15" s="30"/>
    </row>
    <row r="16" spans="1:33" x14ac:dyDescent="0.2">
      <c r="A16" s="11" t="s">
        <v>116</v>
      </c>
      <c r="B16" s="11" t="s">
        <v>120</v>
      </c>
      <c r="C16" s="56">
        <v>10</v>
      </c>
      <c r="D16" s="30"/>
      <c r="E16" s="30"/>
      <c r="F16" s="11" t="s">
        <v>141</v>
      </c>
      <c r="G16" s="11">
        <v>14</v>
      </c>
      <c r="H16" s="30"/>
      <c r="R16" s="11" t="s">
        <v>6</v>
      </c>
      <c r="S16" s="11">
        <v>4</v>
      </c>
      <c r="T16" s="11" t="s">
        <v>220</v>
      </c>
      <c r="U16" s="11" t="s">
        <v>219</v>
      </c>
      <c r="V16" s="30"/>
      <c r="W16" s="11" t="s">
        <v>233</v>
      </c>
      <c r="X16" s="11">
        <v>2.4300000000000002</v>
      </c>
      <c r="Y16" s="11"/>
      <c r="Z16" s="11" t="s">
        <v>233</v>
      </c>
      <c r="AA16" s="11">
        <v>4.78</v>
      </c>
      <c r="AB16" s="30"/>
    </row>
    <row r="17" spans="1:30" x14ac:dyDescent="0.2">
      <c r="A17" s="11" t="s">
        <v>116</v>
      </c>
      <c r="B17" s="11" t="s">
        <v>120</v>
      </c>
      <c r="C17" s="56">
        <v>10</v>
      </c>
      <c r="D17" s="30"/>
      <c r="E17" s="30"/>
      <c r="F17" s="11" t="s">
        <v>141</v>
      </c>
      <c r="G17" s="11">
        <v>14</v>
      </c>
      <c r="H17" s="30"/>
      <c r="Q17" s="30"/>
      <c r="R17" s="11" t="s">
        <v>6</v>
      </c>
      <c r="S17" s="11">
        <v>14</v>
      </c>
      <c r="T17" s="11" t="s">
        <v>218</v>
      </c>
      <c r="U17" s="11" t="s">
        <v>221</v>
      </c>
      <c r="V17" s="30"/>
      <c r="W17" s="11" t="s">
        <v>233</v>
      </c>
      <c r="X17" s="11">
        <v>5.03</v>
      </c>
      <c r="Y17" s="11"/>
      <c r="Z17" s="11" t="s">
        <v>233</v>
      </c>
      <c r="AA17" s="11">
        <v>2.35</v>
      </c>
    </row>
    <row r="18" spans="1:30" x14ac:dyDescent="0.2">
      <c r="A18" s="11" t="s">
        <v>116</v>
      </c>
      <c r="B18" s="11" t="s">
        <v>121</v>
      </c>
      <c r="C18" s="56">
        <v>12</v>
      </c>
      <c r="D18" s="30"/>
      <c r="E18" s="30"/>
      <c r="F18" s="11" t="s">
        <v>141</v>
      </c>
      <c r="G18" s="11">
        <v>23</v>
      </c>
      <c r="H18" s="30"/>
      <c r="I18" s="30"/>
      <c r="J18" s="30"/>
      <c r="K18" s="30"/>
      <c r="Q18" s="30"/>
      <c r="R18" s="11" t="s">
        <v>6</v>
      </c>
      <c r="S18" s="11">
        <v>4</v>
      </c>
      <c r="T18" s="11" t="s">
        <v>222</v>
      </c>
      <c r="U18" s="11" t="s">
        <v>219</v>
      </c>
      <c r="V18" s="30"/>
      <c r="W18" s="11" t="s">
        <v>233</v>
      </c>
      <c r="X18" s="11">
        <v>2.98</v>
      </c>
      <c r="Y18" s="11"/>
      <c r="Z18" s="11" t="s">
        <v>233</v>
      </c>
      <c r="AA18" s="11">
        <v>2.98</v>
      </c>
      <c r="AC18" t="s">
        <v>256</v>
      </c>
    </row>
    <row r="19" spans="1:30" x14ac:dyDescent="0.2">
      <c r="A19" s="11" t="s">
        <v>116</v>
      </c>
      <c r="B19" s="11" t="s">
        <v>121</v>
      </c>
      <c r="C19" s="56">
        <v>12</v>
      </c>
      <c r="D19" s="30"/>
      <c r="E19" s="30"/>
      <c r="F19" s="11" t="s">
        <v>141</v>
      </c>
      <c r="G19" s="11">
        <v>23</v>
      </c>
      <c r="H19" s="30"/>
      <c r="I19" s="30"/>
      <c r="J19" s="30"/>
      <c r="K19" s="30"/>
      <c r="Q19" s="30"/>
      <c r="R19" s="11" t="s">
        <v>6</v>
      </c>
      <c r="S19" s="11">
        <v>8</v>
      </c>
      <c r="T19" s="11" t="s">
        <v>222</v>
      </c>
      <c r="U19" s="11" t="s">
        <v>221</v>
      </c>
      <c r="V19" s="30"/>
      <c r="W19" s="11" t="s">
        <v>233</v>
      </c>
      <c r="X19" s="11">
        <v>1.94</v>
      </c>
      <c r="Y19" s="11"/>
      <c r="Z19" s="11" t="s">
        <v>233</v>
      </c>
      <c r="AA19" s="11">
        <v>1.77</v>
      </c>
      <c r="AC19" t="s">
        <v>115</v>
      </c>
    </row>
    <row r="20" spans="1:30" x14ac:dyDescent="0.2">
      <c r="A20" s="11" t="s">
        <v>116</v>
      </c>
      <c r="B20" s="11" t="s">
        <v>117</v>
      </c>
      <c r="C20" s="56">
        <v>14</v>
      </c>
      <c r="D20" s="30"/>
      <c r="E20" s="30"/>
      <c r="F20" s="11" t="s">
        <v>141</v>
      </c>
      <c r="G20" s="11">
        <v>23</v>
      </c>
      <c r="H20" s="30"/>
      <c r="I20" s="30"/>
      <c r="J20" s="30"/>
      <c r="K20" s="30"/>
      <c r="Q20" s="30"/>
      <c r="R20" s="11" t="s">
        <v>6</v>
      </c>
      <c r="S20" s="11">
        <v>8</v>
      </c>
      <c r="T20" s="11" t="s">
        <v>220</v>
      </c>
      <c r="U20" s="11" t="s">
        <v>221</v>
      </c>
      <c r="V20" s="30"/>
      <c r="W20" s="11" t="s">
        <v>233</v>
      </c>
      <c r="X20" s="11">
        <v>3.15</v>
      </c>
      <c r="Y20" s="11"/>
      <c r="Z20" s="11" t="s">
        <v>233</v>
      </c>
      <c r="AA20" s="11">
        <v>4.8600000000000003</v>
      </c>
    </row>
    <row r="21" spans="1:30" x14ac:dyDescent="0.2">
      <c r="A21" s="11" t="s">
        <v>116</v>
      </c>
      <c r="B21" s="11" t="s">
        <v>117</v>
      </c>
      <c r="C21" s="56">
        <v>14</v>
      </c>
      <c r="D21" s="30"/>
      <c r="E21" s="30"/>
      <c r="F21" s="10" t="s">
        <v>141</v>
      </c>
      <c r="G21" s="10">
        <v>23</v>
      </c>
      <c r="H21" s="30"/>
      <c r="I21" s="30"/>
      <c r="J21" s="30"/>
      <c r="K21" s="30"/>
      <c r="Q21" s="30"/>
      <c r="R21" s="11" t="s">
        <v>6</v>
      </c>
      <c r="S21" s="11">
        <v>8</v>
      </c>
      <c r="T21" s="11" t="s">
        <v>223</v>
      </c>
      <c r="U21" s="11" t="s">
        <v>219</v>
      </c>
      <c r="V21" s="30"/>
      <c r="W21" s="11" t="s">
        <v>233</v>
      </c>
      <c r="X21" s="11">
        <v>2.2599999999999998</v>
      </c>
      <c r="Y21" s="11"/>
      <c r="Z21" s="11" t="s">
        <v>233</v>
      </c>
      <c r="AA21" s="11">
        <v>2.35</v>
      </c>
      <c r="AC21" s="11"/>
      <c r="AD21" s="11">
        <v>7.54</v>
      </c>
    </row>
    <row r="22" spans="1:30" x14ac:dyDescent="0.2">
      <c r="A22" s="11" t="s">
        <v>116</v>
      </c>
      <c r="B22" s="11" t="s">
        <v>118</v>
      </c>
      <c r="C22" s="56">
        <v>14</v>
      </c>
      <c r="D22" s="30"/>
      <c r="E22" s="30"/>
      <c r="F22" s="11" t="s">
        <v>141</v>
      </c>
      <c r="G22" s="11">
        <v>51</v>
      </c>
      <c r="H22" s="30"/>
      <c r="I22" s="30"/>
      <c r="J22" s="30"/>
      <c r="K22" s="30"/>
      <c r="Q22" s="30"/>
      <c r="R22" s="11" t="s">
        <v>6</v>
      </c>
      <c r="S22" s="11">
        <v>18</v>
      </c>
      <c r="T22" s="11" t="s">
        <v>223</v>
      </c>
      <c r="U22" s="11" t="s">
        <v>221</v>
      </c>
      <c r="V22" s="30"/>
      <c r="W22" s="11" t="s">
        <v>233</v>
      </c>
      <c r="X22" s="11">
        <v>4.78</v>
      </c>
      <c r="Y22" s="11"/>
      <c r="Z22" s="11" t="s">
        <v>233</v>
      </c>
      <c r="AA22" s="11">
        <v>1.83</v>
      </c>
      <c r="AC22" s="11"/>
      <c r="AD22" s="11">
        <v>7.11</v>
      </c>
    </row>
    <row r="23" spans="1:30" x14ac:dyDescent="0.2">
      <c r="A23" s="11" t="s">
        <v>116</v>
      </c>
      <c r="B23" s="11" t="s">
        <v>118</v>
      </c>
      <c r="C23" s="56">
        <v>14</v>
      </c>
      <c r="D23" s="30"/>
      <c r="E23" s="30"/>
      <c r="F23" s="11" t="s">
        <v>141</v>
      </c>
      <c r="G23" s="11">
        <v>67</v>
      </c>
      <c r="H23" s="30"/>
      <c r="I23" s="30"/>
      <c r="J23" s="30"/>
      <c r="K23" s="30"/>
      <c r="Q23" s="30"/>
      <c r="R23" s="11" t="s">
        <v>6</v>
      </c>
      <c r="S23" s="11">
        <v>7</v>
      </c>
      <c r="T23" s="11" t="s">
        <v>218</v>
      </c>
      <c r="U23" s="11" t="s">
        <v>219</v>
      </c>
      <c r="V23" s="30"/>
      <c r="W23" s="11" t="s">
        <v>233</v>
      </c>
      <c r="X23" s="11">
        <v>1.94</v>
      </c>
      <c r="Y23" s="11"/>
      <c r="Z23" s="11" t="s">
        <v>233</v>
      </c>
      <c r="AA23" s="11">
        <v>3.83</v>
      </c>
      <c r="AC23" s="11"/>
      <c r="AD23" s="11">
        <v>7.11</v>
      </c>
    </row>
    <row r="24" spans="1:30" x14ac:dyDescent="0.2">
      <c r="A24" s="11" t="s">
        <v>116</v>
      </c>
      <c r="B24" s="11" t="s">
        <v>119</v>
      </c>
      <c r="C24" s="56">
        <v>16</v>
      </c>
      <c r="F24" s="11" t="s">
        <v>141</v>
      </c>
      <c r="G24" s="11">
        <v>208</v>
      </c>
      <c r="H24" s="30"/>
      <c r="I24" s="30"/>
      <c r="J24" s="30"/>
      <c r="K24" s="30"/>
      <c r="R24" s="11" t="s">
        <v>6</v>
      </c>
      <c r="S24" s="11">
        <v>4</v>
      </c>
      <c r="T24" s="11" t="s">
        <v>220</v>
      </c>
      <c r="U24" s="11" t="s">
        <v>219</v>
      </c>
      <c r="V24" s="30"/>
      <c r="W24" s="11" t="s">
        <v>233</v>
      </c>
      <c r="X24" s="11">
        <v>2.5099999999999998</v>
      </c>
      <c r="Y24" s="11"/>
      <c r="Z24" s="11" t="s">
        <v>233</v>
      </c>
      <c r="AA24" s="11">
        <v>2.4300000000000002</v>
      </c>
      <c r="AC24" s="11"/>
      <c r="AD24" s="11">
        <v>7.54</v>
      </c>
    </row>
    <row r="25" spans="1:30" x14ac:dyDescent="0.2">
      <c r="A25" s="11" t="s">
        <v>116</v>
      </c>
      <c r="B25" s="11" t="s">
        <v>119</v>
      </c>
      <c r="C25" s="56">
        <v>16</v>
      </c>
      <c r="F25" s="11" t="s">
        <v>141</v>
      </c>
      <c r="G25" s="11">
        <v>346</v>
      </c>
      <c r="H25" s="30"/>
      <c r="I25" s="30"/>
      <c r="J25" s="30"/>
      <c r="K25" s="30"/>
      <c r="R25" s="11" t="s">
        <v>6</v>
      </c>
      <c r="S25" s="11">
        <v>14</v>
      </c>
      <c r="T25" s="11" t="s">
        <v>218</v>
      </c>
      <c r="U25" s="11" t="s">
        <v>221</v>
      </c>
      <c r="V25" s="30"/>
      <c r="W25" s="11" t="s">
        <v>233</v>
      </c>
      <c r="X25" s="11">
        <v>5.03</v>
      </c>
      <c r="Y25" s="11"/>
      <c r="Z25" s="11" t="s">
        <v>233</v>
      </c>
      <c r="AA25" s="11">
        <v>5.03</v>
      </c>
      <c r="AC25" s="11"/>
      <c r="AD25" s="11">
        <v>7.54</v>
      </c>
    </row>
    <row r="26" spans="1:30" x14ac:dyDescent="0.2">
      <c r="A26" s="11" t="s">
        <v>116</v>
      </c>
      <c r="B26" s="11" t="s">
        <v>119</v>
      </c>
      <c r="C26" s="56">
        <v>16</v>
      </c>
      <c r="F26" s="73" t="s">
        <v>7</v>
      </c>
      <c r="G26" s="14">
        <f>SUM(G16:G25)</f>
        <v>792</v>
      </c>
      <c r="H26" s="30"/>
      <c r="I26" s="30"/>
      <c r="J26" s="30"/>
      <c r="K26" s="30"/>
      <c r="R26" s="11" t="s">
        <v>6</v>
      </c>
      <c r="S26" s="11">
        <v>4</v>
      </c>
      <c r="T26" s="11" t="s">
        <v>222</v>
      </c>
      <c r="U26" s="11" t="s">
        <v>219</v>
      </c>
      <c r="V26" s="30"/>
      <c r="W26" s="11" t="s">
        <v>233</v>
      </c>
      <c r="X26" s="11">
        <v>1.83</v>
      </c>
      <c r="Y26" s="56"/>
      <c r="Z26" s="11" t="s">
        <v>233</v>
      </c>
      <c r="AA26" s="11">
        <v>2.98</v>
      </c>
      <c r="AC26" s="11"/>
      <c r="AD26" s="11">
        <v>7.54</v>
      </c>
    </row>
    <row r="27" spans="1:30" x14ac:dyDescent="0.2">
      <c r="A27" s="11" t="s">
        <v>116</v>
      </c>
      <c r="B27" s="11" t="s">
        <v>119</v>
      </c>
      <c r="C27" s="56">
        <v>16</v>
      </c>
      <c r="H27" s="30"/>
      <c r="I27" s="30"/>
      <c r="J27" s="30"/>
      <c r="K27" s="30"/>
      <c r="R27" s="11" t="s">
        <v>6</v>
      </c>
      <c r="S27" s="11">
        <v>8</v>
      </c>
      <c r="T27" s="11" t="s">
        <v>222</v>
      </c>
      <c r="U27" s="11" t="s">
        <v>221</v>
      </c>
      <c r="V27" s="30"/>
      <c r="W27" s="11" t="s">
        <v>233</v>
      </c>
      <c r="X27" s="11">
        <v>4</v>
      </c>
      <c r="Y27" s="56"/>
      <c r="Z27" s="11" t="s">
        <v>233</v>
      </c>
      <c r="AA27" s="11">
        <v>1.94</v>
      </c>
      <c r="AC27" s="11"/>
      <c r="AD27" s="11">
        <v>7.54</v>
      </c>
    </row>
    <row r="28" spans="1:30" x14ac:dyDescent="0.2">
      <c r="A28" s="11" t="s">
        <v>116</v>
      </c>
      <c r="B28" s="11" t="s">
        <v>124</v>
      </c>
      <c r="C28" s="56">
        <v>12</v>
      </c>
      <c r="H28" s="30"/>
      <c r="I28" s="30"/>
      <c r="J28" s="30"/>
      <c r="K28" s="30"/>
      <c r="R28" s="11" t="s">
        <v>6</v>
      </c>
      <c r="S28" s="11">
        <v>8</v>
      </c>
      <c r="T28" s="11" t="s">
        <v>220</v>
      </c>
      <c r="U28" s="11" t="s">
        <v>221</v>
      </c>
      <c r="V28" s="30"/>
      <c r="W28" s="11" t="s">
        <v>233</v>
      </c>
      <c r="X28" s="11">
        <v>2</v>
      </c>
      <c r="Y28" s="56"/>
      <c r="Z28" s="11" t="s">
        <v>233</v>
      </c>
      <c r="AA28" s="11">
        <v>3.15</v>
      </c>
      <c r="AC28" s="11"/>
      <c r="AD28" s="11">
        <v>4.18</v>
      </c>
    </row>
    <row r="29" spans="1:30" x14ac:dyDescent="0.2">
      <c r="A29" s="11"/>
      <c r="B29" s="11"/>
      <c r="C29" s="56">
        <v>8</v>
      </c>
      <c r="F29" s="11" t="s">
        <v>143</v>
      </c>
      <c r="G29" s="11">
        <v>9</v>
      </c>
      <c r="H29" s="30"/>
      <c r="I29" s="30"/>
      <c r="J29" s="30"/>
      <c r="K29" s="30"/>
      <c r="R29" s="11" t="s">
        <v>6</v>
      </c>
      <c r="S29" s="11">
        <v>8</v>
      </c>
      <c r="T29" s="11" t="s">
        <v>223</v>
      </c>
      <c r="U29" s="11" t="s">
        <v>219</v>
      </c>
      <c r="V29" s="30"/>
      <c r="W29" s="11" t="s">
        <v>233</v>
      </c>
      <c r="X29" s="11">
        <v>2.2599999999999998</v>
      </c>
      <c r="Y29" s="11"/>
      <c r="Z29" s="11" t="s">
        <v>233</v>
      </c>
      <c r="AA29" s="11">
        <v>2.2599999999999998</v>
      </c>
      <c r="AC29" s="11"/>
      <c r="AD29" s="11">
        <v>4.18</v>
      </c>
    </row>
    <row r="30" spans="1:30" x14ac:dyDescent="0.2">
      <c r="A30" s="11" t="s">
        <v>116</v>
      </c>
      <c r="B30" s="11" t="s">
        <v>122</v>
      </c>
      <c r="C30" s="56">
        <v>16</v>
      </c>
      <c r="F30" s="11" t="s">
        <v>143</v>
      </c>
      <c r="G30" s="11">
        <v>11</v>
      </c>
      <c r="H30" s="30"/>
      <c r="I30" s="30"/>
      <c r="J30" s="30"/>
      <c r="K30" s="30"/>
      <c r="R30" s="11" t="s">
        <v>6</v>
      </c>
      <c r="S30" s="11">
        <v>18</v>
      </c>
      <c r="T30" s="11" t="s">
        <v>223</v>
      </c>
      <c r="U30" s="11" t="s">
        <v>221</v>
      </c>
      <c r="V30" s="30"/>
      <c r="W30" s="11" t="s">
        <v>233</v>
      </c>
      <c r="X30" s="11">
        <v>4.78</v>
      </c>
      <c r="Y30" s="11"/>
      <c r="Z30" s="11" t="s">
        <v>233</v>
      </c>
      <c r="AA30" s="11">
        <v>4.78</v>
      </c>
      <c r="AC30" s="14" t="s">
        <v>7</v>
      </c>
      <c r="AD30" s="14">
        <f>SUM(AD21:AD29)</f>
        <v>60.28</v>
      </c>
    </row>
    <row r="31" spans="1:30" x14ac:dyDescent="0.2">
      <c r="A31" s="11"/>
      <c r="B31" s="11"/>
      <c r="C31" s="56">
        <v>8</v>
      </c>
      <c r="F31" s="11" t="s">
        <v>143</v>
      </c>
      <c r="G31" s="11">
        <v>16</v>
      </c>
      <c r="H31" s="30"/>
      <c r="I31" s="30"/>
      <c r="J31" s="30"/>
      <c r="K31" s="30"/>
      <c r="R31" s="11" t="s">
        <v>6</v>
      </c>
      <c r="S31" s="11">
        <v>7</v>
      </c>
      <c r="T31" s="11" t="s">
        <v>218</v>
      </c>
      <c r="U31" s="11" t="s">
        <v>219</v>
      </c>
      <c r="V31" s="30"/>
      <c r="W31" s="11" t="s">
        <v>233</v>
      </c>
      <c r="X31" s="11">
        <v>3.83</v>
      </c>
      <c r="Y31" s="11"/>
      <c r="Z31" s="11" t="s">
        <v>233</v>
      </c>
      <c r="AA31" s="11">
        <v>1.94</v>
      </c>
    </row>
    <row r="32" spans="1:30" x14ac:dyDescent="0.2">
      <c r="A32" s="11" t="s">
        <v>116</v>
      </c>
      <c r="B32" s="11" t="s">
        <v>122</v>
      </c>
      <c r="C32" s="56">
        <v>16</v>
      </c>
      <c r="F32" s="11" t="s">
        <v>143</v>
      </c>
      <c r="G32" s="11">
        <v>19</v>
      </c>
      <c r="H32" s="30"/>
      <c r="I32" s="30"/>
      <c r="J32" s="30"/>
      <c r="K32" s="30"/>
      <c r="R32" s="11" t="s">
        <v>6</v>
      </c>
      <c r="S32" s="11">
        <v>4</v>
      </c>
      <c r="T32" s="11" t="s">
        <v>220</v>
      </c>
      <c r="U32" s="11" t="s">
        <v>219</v>
      </c>
      <c r="V32" s="30"/>
      <c r="W32" s="11" t="s">
        <v>233</v>
      </c>
      <c r="X32" s="11">
        <v>4.78</v>
      </c>
      <c r="Y32" s="11"/>
      <c r="Z32" s="11" t="s">
        <v>233</v>
      </c>
      <c r="AA32" s="11">
        <v>2.5099999999999998</v>
      </c>
    </row>
    <row r="33" spans="1:32" x14ac:dyDescent="0.2">
      <c r="A33" s="11"/>
      <c r="B33" s="11"/>
      <c r="C33" s="56">
        <v>8</v>
      </c>
      <c r="F33" s="73" t="s">
        <v>7</v>
      </c>
      <c r="G33" s="14">
        <f>SUM(G29:G32)</f>
        <v>55</v>
      </c>
      <c r="H33" s="30"/>
      <c r="K33" s="30"/>
      <c r="R33" s="11" t="s">
        <v>6</v>
      </c>
      <c r="S33" s="11">
        <v>14</v>
      </c>
      <c r="T33" s="11" t="s">
        <v>218</v>
      </c>
      <c r="U33" s="11" t="s">
        <v>221</v>
      </c>
      <c r="V33" s="30"/>
      <c r="W33" s="11" t="s">
        <v>233</v>
      </c>
      <c r="X33" s="11">
        <v>2.35</v>
      </c>
      <c r="Y33" s="11"/>
      <c r="Z33" s="11" t="s">
        <v>233</v>
      </c>
      <c r="AA33" s="11">
        <v>5.03</v>
      </c>
    </row>
    <row r="34" spans="1:32" x14ac:dyDescent="0.2">
      <c r="A34" s="11" t="s">
        <v>116</v>
      </c>
      <c r="B34" s="11" t="s">
        <v>122</v>
      </c>
      <c r="C34" s="56">
        <v>16</v>
      </c>
      <c r="H34" s="30"/>
      <c r="K34" s="30"/>
      <c r="R34" s="11" t="s">
        <v>6</v>
      </c>
      <c r="S34" s="11">
        <v>4</v>
      </c>
      <c r="T34" s="11" t="s">
        <v>222</v>
      </c>
      <c r="U34" s="11" t="s">
        <v>219</v>
      </c>
      <c r="V34" s="30"/>
      <c r="W34" s="11" t="s">
        <v>233</v>
      </c>
      <c r="X34" s="11">
        <v>2.98</v>
      </c>
      <c r="Y34" s="11"/>
      <c r="Z34" s="11" t="s">
        <v>233</v>
      </c>
      <c r="AA34" s="11">
        <v>1.83</v>
      </c>
      <c r="AC34" s="11" t="s">
        <v>310</v>
      </c>
      <c r="AD34" s="11"/>
      <c r="AE34" s="11"/>
      <c r="AF34" s="11"/>
    </row>
    <row r="35" spans="1:32" x14ac:dyDescent="0.2">
      <c r="A35" s="11"/>
      <c r="B35" s="11"/>
      <c r="C35" s="56">
        <v>8</v>
      </c>
      <c r="H35" s="30"/>
      <c r="K35" s="30"/>
      <c r="R35" s="11" t="s">
        <v>6</v>
      </c>
      <c r="S35" s="11">
        <v>8</v>
      </c>
      <c r="T35" s="11" t="s">
        <v>222</v>
      </c>
      <c r="U35" s="11" t="s">
        <v>221</v>
      </c>
      <c r="V35" s="30"/>
      <c r="W35" s="11" t="s">
        <v>233</v>
      </c>
      <c r="X35" s="11">
        <v>1.77</v>
      </c>
      <c r="Y35" s="11"/>
      <c r="Z35" s="11" t="s">
        <v>233</v>
      </c>
      <c r="AA35" s="11">
        <v>4</v>
      </c>
      <c r="AC35" s="11" t="s">
        <v>283</v>
      </c>
      <c r="AD35" s="11" t="s">
        <v>216</v>
      </c>
      <c r="AE35" s="11" t="s">
        <v>217</v>
      </c>
      <c r="AF35" s="11" t="s">
        <v>311</v>
      </c>
    </row>
    <row r="36" spans="1:32" x14ac:dyDescent="0.2">
      <c r="A36" s="11" t="s">
        <v>116</v>
      </c>
      <c r="B36" s="11" t="s">
        <v>122</v>
      </c>
      <c r="C36" s="56">
        <v>16</v>
      </c>
      <c r="F36" s="11" t="s">
        <v>150</v>
      </c>
      <c r="G36" s="11">
        <v>13</v>
      </c>
      <c r="H36" s="30"/>
      <c r="K36" s="30"/>
      <c r="R36" s="11" t="s">
        <v>6</v>
      </c>
      <c r="S36" s="11">
        <v>8</v>
      </c>
      <c r="T36" s="11" t="s">
        <v>220</v>
      </c>
      <c r="U36" s="11" t="s">
        <v>221</v>
      </c>
      <c r="V36" s="30"/>
      <c r="W36" s="11" t="s">
        <v>233</v>
      </c>
      <c r="X36" s="11">
        <v>4.8600000000000003</v>
      </c>
      <c r="Y36" s="11"/>
      <c r="Z36" s="11" t="s">
        <v>233</v>
      </c>
      <c r="AA36" s="11">
        <v>2</v>
      </c>
      <c r="AC36" s="11"/>
      <c r="AD36" s="11"/>
      <c r="AE36" s="11"/>
      <c r="AF36" s="11"/>
    </row>
    <row r="37" spans="1:32" x14ac:dyDescent="0.2">
      <c r="A37" s="11"/>
      <c r="B37" s="11"/>
      <c r="C37" s="56">
        <v>8</v>
      </c>
      <c r="F37" s="11" t="s">
        <v>150</v>
      </c>
      <c r="G37" s="11">
        <v>16</v>
      </c>
      <c r="H37" s="30"/>
      <c r="K37" s="30"/>
      <c r="R37" s="11" t="s">
        <v>6</v>
      </c>
      <c r="S37" s="11">
        <v>8</v>
      </c>
      <c r="T37" s="11" t="s">
        <v>223</v>
      </c>
      <c r="U37" s="11" t="s">
        <v>219</v>
      </c>
      <c r="V37" s="30"/>
      <c r="W37" s="11" t="s">
        <v>233</v>
      </c>
      <c r="X37" s="11">
        <v>2.35</v>
      </c>
      <c r="Y37" s="11"/>
      <c r="Z37" s="11" t="s">
        <v>233</v>
      </c>
      <c r="AA37" s="11">
        <v>2.2599999999999998</v>
      </c>
      <c r="AC37" s="11" t="s">
        <v>312</v>
      </c>
      <c r="AD37" s="11" t="s">
        <v>313</v>
      </c>
      <c r="AE37" s="11" t="s">
        <v>313</v>
      </c>
      <c r="AF37" s="11" t="s">
        <v>313</v>
      </c>
    </row>
    <row r="38" spans="1:32" x14ac:dyDescent="0.2">
      <c r="A38" s="11" t="s">
        <v>116</v>
      </c>
      <c r="B38" s="11" t="s">
        <v>122</v>
      </c>
      <c r="C38" s="56">
        <v>16</v>
      </c>
      <c r="F38" s="11" t="s">
        <v>150</v>
      </c>
      <c r="G38" s="11">
        <v>30</v>
      </c>
      <c r="H38" s="30"/>
      <c r="K38" s="30"/>
      <c r="R38" s="11" t="s">
        <v>6</v>
      </c>
      <c r="S38" s="11">
        <v>18</v>
      </c>
      <c r="T38" s="11" t="s">
        <v>223</v>
      </c>
      <c r="U38" s="11" t="s">
        <v>221</v>
      </c>
      <c r="V38" s="30"/>
      <c r="W38" s="11" t="s">
        <v>233</v>
      </c>
      <c r="X38" s="11">
        <v>1.83</v>
      </c>
      <c r="Y38" s="11"/>
      <c r="Z38" s="11" t="s">
        <v>233</v>
      </c>
      <c r="AA38" s="11">
        <v>4.78</v>
      </c>
      <c r="AC38" s="11" t="s">
        <v>312</v>
      </c>
      <c r="AD38" s="11" t="s">
        <v>314</v>
      </c>
      <c r="AE38" s="11" t="s">
        <v>315</v>
      </c>
      <c r="AF38" s="11" t="s">
        <v>316</v>
      </c>
    </row>
    <row r="39" spans="1:32" x14ac:dyDescent="0.2">
      <c r="A39" s="11"/>
      <c r="B39" s="11"/>
      <c r="C39" s="56">
        <v>8</v>
      </c>
      <c r="F39" s="11" t="s">
        <v>150</v>
      </c>
      <c r="G39" s="11">
        <v>36</v>
      </c>
      <c r="H39" s="30"/>
      <c r="K39" s="30"/>
      <c r="R39" s="11" t="s">
        <v>6</v>
      </c>
      <c r="S39" s="11">
        <v>12</v>
      </c>
      <c r="T39" s="11" t="s">
        <v>218</v>
      </c>
      <c r="U39" s="11" t="s">
        <v>224</v>
      </c>
      <c r="V39" s="30"/>
      <c r="W39" s="11" t="s">
        <v>233</v>
      </c>
      <c r="X39" s="11">
        <v>3.83</v>
      </c>
      <c r="Y39" s="11"/>
      <c r="Z39" s="11" t="s">
        <v>233</v>
      </c>
      <c r="AA39" s="11">
        <v>3.83</v>
      </c>
      <c r="AC39" s="11" t="s">
        <v>312</v>
      </c>
      <c r="AD39" s="11" t="s">
        <v>317</v>
      </c>
      <c r="AE39" s="11" t="s">
        <v>318</v>
      </c>
      <c r="AF39" s="11" t="s">
        <v>317</v>
      </c>
    </row>
    <row r="40" spans="1:32" x14ac:dyDescent="0.2">
      <c r="C40" s="65"/>
      <c r="F40" s="11" t="s">
        <v>150</v>
      </c>
      <c r="G40" s="11">
        <v>39</v>
      </c>
      <c r="H40" s="30"/>
      <c r="K40" s="30"/>
      <c r="R40" s="11" t="s">
        <v>6</v>
      </c>
      <c r="S40" s="11">
        <v>24</v>
      </c>
      <c r="T40" s="11" t="s">
        <v>225</v>
      </c>
      <c r="U40" s="11" t="s">
        <v>226</v>
      </c>
      <c r="V40" s="30"/>
      <c r="W40" s="11" t="s">
        <v>233</v>
      </c>
      <c r="X40" s="11">
        <v>2.4300000000000002</v>
      </c>
      <c r="Y40" s="11"/>
      <c r="Z40" s="11" t="s">
        <v>233</v>
      </c>
      <c r="AA40" s="11">
        <v>3.35</v>
      </c>
      <c r="AC40" s="11" t="s">
        <v>312</v>
      </c>
      <c r="AD40" s="11" t="s">
        <v>319</v>
      </c>
      <c r="AE40" s="11" t="s">
        <v>315</v>
      </c>
      <c r="AF40" s="11" t="s">
        <v>313</v>
      </c>
    </row>
    <row r="41" spans="1:32" x14ac:dyDescent="0.2">
      <c r="F41" s="73" t="s">
        <v>7</v>
      </c>
      <c r="G41" s="14">
        <f>SUM(G36:G40)</f>
        <v>134</v>
      </c>
      <c r="H41" s="30"/>
      <c r="K41" s="30"/>
      <c r="R41" s="11" t="s">
        <v>6</v>
      </c>
      <c r="S41" s="11">
        <v>24</v>
      </c>
      <c r="T41" s="11" t="s">
        <v>225</v>
      </c>
      <c r="U41" s="11" t="s">
        <v>226</v>
      </c>
      <c r="V41" s="30"/>
      <c r="W41" s="11" t="s">
        <v>233</v>
      </c>
      <c r="X41" s="11">
        <v>5.03</v>
      </c>
      <c r="Y41" s="11"/>
      <c r="Z41" s="11" t="s">
        <v>233</v>
      </c>
      <c r="AA41" s="11">
        <v>4.29</v>
      </c>
      <c r="AC41" s="11" t="s">
        <v>312</v>
      </c>
      <c r="AD41" s="11" t="s">
        <v>313</v>
      </c>
      <c r="AE41" s="11" t="s">
        <v>313</v>
      </c>
      <c r="AF41" s="11" t="s">
        <v>315</v>
      </c>
    </row>
    <row r="42" spans="1:32" x14ac:dyDescent="0.2">
      <c r="A42" s="30" t="s">
        <v>172</v>
      </c>
      <c r="B42" s="30"/>
      <c r="H42" s="30"/>
      <c r="K42" s="30"/>
      <c r="R42" s="11" t="s">
        <v>6</v>
      </c>
      <c r="S42" s="11">
        <v>10</v>
      </c>
      <c r="T42" s="11" t="s">
        <v>227</v>
      </c>
      <c r="U42" s="11" t="s">
        <v>228</v>
      </c>
      <c r="V42" s="30"/>
      <c r="W42" s="11" t="s">
        <v>233</v>
      </c>
      <c r="X42" s="11">
        <v>2.98</v>
      </c>
      <c r="Y42" s="11"/>
      <c r="Z42" s="11" t="s">
        <v>233</v>
      </c>
      <c r="AA42" s="11">
        <v>2.2999999999999998</v>
      </c>
      <c r="AC42" s="11" t="s">
        <v>312</v>
      </c>
      <c r="AD42" s="11" t="s">
        <v>313</v>
      </c>
      <c r="AE42" s="11" t="s">
        <v>313</v>
      </c>
      <c r="AF42" s="11" t="s">
        <v>315</v>
      </c>
    </row>
    <row r="43" spans="1:32" x14ac:dyDescent="0.2">
      <c r="A43" s="30" t="s">
        <v>114</v>
      </c>
      <c r="B43" s="30" t="s">
        <v>115</v>
      </c>
      <c r="H43" s="30"/>
      <c r="K43" s="30"/>
      <c r="R43" s="11" t="s">
        <v>6</v>
      </c>
      <c r="S43" s="11">
        <v>10</v>
      </c>
      <c r="T43" s="11" t="s">
        <v>227</v>
      </c>
      <c r="U43" s="11" t="s">
        <v>228</v>
      </c>
      <c r="V43" s="30"/>
      <c r="W43" s="11" t="s">
        <v>233</v>
      </c>
      <c r="X43" s="11">
        <v>1.94</v>
      </c>
      <c r="Y43" s="11"/>
      <c r="Z43" s="11" t="s">
        <v>233</v>
      </c>
      <c r="AA43" s="11">
        <v>2.5499999999999998</v>
      </c>
      <c r="AC43" s="11" t="s">
        <v>312</v>
      </c>
      <c r="AD43" s="11" t="s">
        <v>313</v>
      </c>
      <c r="AE43" s="11" t="s">
        <v>320</v>
      </c>
      <c r="AF43" s="11" t="s">
        <v>315</v>
      </c>
    </row>
    <row r="44" spans="1:32" x14ac:dyDescent="0.2">
      <c r="A44" s="30"/>
      <c r="B44" s="30"/>
      <c r="H44" s="30"/>
      <c r="K44" s="30"/>
      <c r="R44" s="11" t="s">
        <v>6</v>
      </c>
      <c r="S44" s="11">
        <v>19</v>
      </c>
      <c r="T44" s="11" t="s">
        <v>218</v>
      </c>
      <c r="U44" s="11" t="s">
        <v>229</v>
      </c>
      <c r="V44" s="30"/>
      <c r="W44" s="11" t="s">
        <v>233</v>
      </c>
      <c r="X44" s="11">
        <v>3.15</v>
      </c>
      <c r="Y44" s="11"/>
      <c r="Z44" s="11" t="s">
        <v>233</v>
      </c>
      <c r="AA44" s="11">
        <v>4.1900000000000004</v>
      </c>
      <c r="AC44" s="11" t="s">
        <v>312</v>
      </c>
      <c r="AD44" s="11" t="s">
        <v>313</v>
      </c>
      <c r="AE44" s="11" t="s">
        <v>320</v>
      </c>
      <c r="AF44" s="11" t="s">
        <v>315</v>
      </c>
    </row>
    <row r="45" spans="1:32" x14ac:dyDescent="0.2">
      <c r="A45" s="11" t="s">
        <v>173</v>
      </c>
      <c r="B45" s="11" t="s">
        <v>174</v>
      </c>
      <c r="C45" s="11">
        <v>8</v>
      </c>
      <c r="H45" s="30"/>
      <c r="K45" s="30"/>
      <c r="R45" s="11" t="s">
        <v>6</v>
      </c>
      <c r="S45" s="11">
        <v>11</v>
      </c>
      <c r="T45" s="11"/>
      <c r="U45" s="11"/>
      <c r="V45" s="30"/>
      <c r="W45" s="11" t="s">
        <v>233</v>
      </c>
      <c r="X45" s="11">
        <v>2.2599999999999998</v>
      </c>
      <c r="Y45" s="11"/>
      <c r="Z45" s="11" t="s">
        <v>233</v>
      </c>
      <c r="AA45" s="11">
        <v>4.1900000000000004</v>
      </c>
      <c r="AC45" s="11" t="s">
        <v>312</v>
      </c>
      <c r="AD45" s="11" t="s">
        <v>313</v>
      </c>
      <c r="AE45" s="11" t="s">
        <v>313</v>
      </c>
      <c r="AF45" s="11" t="s">
        <v>313</v>
      </c>
    </row>
    <row r="46" spans="1:32" x14ac:dyDescent="0.2">
      <c r="A46" s="11" t="s">
        <v>173</v>
      </c>
      <c r="B46" s="11" t="s">
        <v>142</v>
      </c>
      <c r="C46" s="11">
        <v>8</v>
      </c>
      <c r="H46" s="30"/>
      <c r="K46" s="30"/>
      <c r="R46" s="11" t="s">
        <v>6</v>
      </c>
      <c r="S46" s="11">
        <v>8</v>
      </c>
      <c r="T46" s="11"/>
      <c r="U46" s="11"/>
      <c r="V46" s="30"/>
      <c r="W46" s="11" t="s">
        <v>233</v>
      </c>
      <c r="X46" s="11">
        <v>4.78</v>
      </c>
      <c r="Y46" s="11"/>
      <c r="Z46" s="11" t="s">
        <v>233</v>
      </c>
      <c r="AA46" s="11">
        <v>6</v>
      </c>
    </row>
    <row r="47" spans="1:32" x14ac:dyDescent="0.2">
      <c r="A47" s="11" t="s">
        <v>173</v>
      </c>
      <c r="B47" s="11" t="s">
        <v>142</v>
      </c>
      <c r="C47" s="11">
        <v>8</v>
      </c>
      <c r="F47" s="11" t="s">
        <v>144</v>
      </c>
      <c r="G47" s="11">
        <v>12</v>
      </c>
      <c r="H47" s="30"/>
      <c r="K47" s="30"/>
      <c r="R47" s="11" t="s">
        <v>6</v>
      </c>
      <c r="S47" s="11">
        <v>4</v>
      </c>
      <c r="T47" s="11"/>
      <c r="U47" s="11"/>
      <c r="V47" s="30"/>
      <c r="W47" s="11" t="s">
        <v>233</v>
      </c>
      <c r="X47" s="11">
        <v>1.94</v>
      </c>
      <c r="Y47" s="11"/>
      <c r="Z47" s="11" t="s">
        <v>233</v>
      </c>
      <c r="AA47" s="11">
        <v>6</v>
      </c>
    </row>
    <row r="48" spans="1:32" x14ac:dyDescent="0.2">
      <c r="A48" s="11" t="s">
        <v>173</v>
      </c>
      <c r="B48" s="11" t="s">
        <v>142</v>
      </c>
      <c r="C48" s="11">
        <v>8</v>
      </c>
      <c r="F48" s="11" t="s">
        <v>144</v>
      </c>
      <c r="G48" s="11">
        <v>17</v>
      </c>
      <c r="H48" s="30"/>
      <c r="K48" s="30"/>
      <c r="R48" s="11" t="s">
        <v>230</v>
      </c>
      <c r="S48" s="11"/>
      <c r="T48" s="11"/>
      <c r="U48" s="11"/>
      <c r="V48" s="30"/>
      <c r="W48" s="11" t="s">
        <v>233</v>
      </c>
      <c r="X48" s="11">
        <v>2.5099999999999998</v>
      </c>
      <c r="Y48" s="11"/>
      <c r="Z48" s="11" t="s">
        <v>233</v>
      </c>
      <c r="AA48" s="11">
        <v>4.1900000000000004</v>
      </c>
    </row>
    <row r="49" spans="1:27" x14ac:dyDescent="0.2">
      <c r="A49" s="11" t="s">
        <v>173</v>
      </c>
      <c r="B49" s="11" t="s">
        <v>142</v>
      </c>
      <c r="C49" s="11">
        <v>8</v>
      </c>
      <c r="F49" s="11" t="s">
        <v>144</v>
      </c>
      <c r="G49" s="11">
        <v>27</v>
      </c>
      <c r="H49" s="30"/>
      <c r="K49" s="30"/>
      <c r="R49" s="14" t="s">
        <v>78</v>
      </c>
      <c r="S49" s="14">
        <f>SUM(S7:S48)</f>
        <v>406</v>
      </c>
      <c r="T49" s="11"/>
      <c r="U49" s="11"/>
      <c r="V49" s="30"/>
      <c r="W49" s="11" t="s">
        <v>233</v>
      </c>
      <c r="X49" s="11">
        <v>5.03</v>
      </c>
      <c r="Y49" s="11"/>
      <c r="Z49" s="11" t="s">
        <v>233</v>
      </c>
      <c r="AA49" s="11">
        <v>4.1900000000000004</v>
      </c>
    </row>
    <row r="50" spans="1:27" x14ac:dyDescent="0.2">
      <c r="A50" s="11" t="s">
        <v>173</v>
      </c>
      <c r="B50" s="11" t="s">
        <v>175</v>
      </c>
      <c r="C50" s="11">
        <v>8</v>
      </c>
      <c r="F50" s="11" t="s">
        <v>144</v>
      </c>
      <c r="G50" s="11">
        <v>36</v>
      </c>
      <c r="H50" s="30"/>
      <c r="K50" s="30"/>
      <c r="W50" s="11" t="s">
        <v>233</v>
      </c>
      <c r="X50" s="11">
        <v>1.83</v>
      </c>
      <c r="Y50" s="11"/>
      <c r="Z50" s="11" t="s">
        <v>233</v>
      </c>
      <c r="AA50" s="11">
        <v>6</v>
      </c>
    </row>
    <row r="51" spans="1:27" x14ac:dyDescent="0.2">
      <c r="A51" s="11"/>
      <c r="B51" s="11"/>
      <c r="C51" s="11">
        <v>8</v>
      </c>
      <c r="F51" s="11" t="s">
        <v>144</v>
      </c>
      <c r="G51" s="11">
        <v>39</v>
      </c>
      <c r="H51" s="30"/>
      <c r="K51" s="30"/>
      <c r="W51" s="11" t="s">
        <v>233</v>
      </c>
      <c r="X51" s="11">
        <v>4</v>
      </c>
      <c r="Y51" s="11"/>
      <c r="Z51" s="11" t="s">
        <v>233</v>
      </c>
      <c r="AA51" s="11">
        <v>6</v>
      </c>
    </row>
    <row r="52" spans="1:27" x14ac:dyDescent="0.2">
      <c r="A52" s="11"/>
      <c r="B52" s="11"/>
      <c r="C52" s="11">
        <v>8</v>
      </c>
      <c r="F52" s="11" t="s">
        <v>144</v>
      </c>
      <c r="G52" s="11">
        <v>41</v>
      </c>
      <c r="H52" s="30"/>
      <c r="K52" s="30"/>
      <c r="R52" s="4" t="s">
        <v>247</v>
      </c>
      <c r="W52" s="11" t="s">
        <v>233</v>
      </c>
      <c r="X52" s="11">
        <v>2</v>
      </c>
      <c r="Y52" s="11"/>
      <c r="Z52" s="11" t="s">
        <v>233</v>
      </c>
      <c r="AA52" s="11">
        <v>3.83</v>
      </c>
    </row>
    <row r="53" spans="1:27" x14ac:dyDescent="0.2">
      <c r="A53" s="11"/>
      <c r="B53" s="11"/>
      <c r="C53" s="11">
        <v>8</v>
      </c>
      <c r="F53" s="11" t="s">
        <v>144</v>
      </c>
      <c r="G53" s="11">
        <v>55</v>
      </c>
      <c r="H53" s="30"/>
      <c r="K53" s="30"/>
      <c r="R53" s="11" t="s">
        <v>232</v>
      </c>
      <c r="S53" s="11" t="s">
        <v>115</v>
      </c>
      <c r="W53" s="11" t="s">
        <v>233</v>
      </c>
      <c r="X53" s="11">
        <v>2.2599999999999998</v>
      </c>
      <c r="Y53" s="11"/>
      <c r="Z53" s="11" t="s">
        <v>233</v>
      </c>
      <c r="AA53" s="11">
        <v>3.83</v>
      </c>
    </row>
    <row r="54" spans="1:27" x14ac:dyDescent="0.2">
      <c r="A54" s="11" t="s">
        <v>173</v>
      </c>
      <c r="B54" s="11" t="s">
        <v>176</v>
      </c>
      <c r="C54" s="11">
        <v>12</v>
      </c>
      <c r="F54" s="11" t="s">
        <v>144</v>
      </c>
      <c r="G54" s="11">
        <v>103</v>
      </c>
      <c r="H54" s="30"/>
      <c r="K54" s="30"/>
      <c r="R54" s="11"/>
      <c r="S54" s="11"/>
      <c r="W54" s="11" t="s">
        <v>233</v>
      </c>
      <c r="X54" s="11">
        <v>4.78</v>
      </c>
      <c r="Y54" s="11"/>
      <c r="Z54" s="11" t="s">
        <v>233</v>
      </c>
      <c r="AA54" s="11">
        <v>2.97</v>
      </c>
    </row>
    <row r="55" spans="1:27" x14ac:dyDescent="0.2">
      <c r="A55" s="11" t="s">
        <v>173</v>
      </c>
      <c r="B55" s="11" t="s">
        <v>176</v>
      </c>
      <c r="C55" s="11">
        <v>12</v>
      </c>
      <c r="F55" s="73" t="s">
        <v>7</v>
      </c>
      <c r="G55" s="14">
        <f>SUM(G47:G54)</f>
        <v>330</v>
      </c>
      <c r="H55" s="30"/>
      <c r="K55" s="30"/>
      <c r="R55" s="11" t="s">
        <v>245</v>
      </c>
      <c r="S55" s="11">
        <v>16.989999999999998</v>
      </c>
      <c r="W55" s="11" t="s">
        <v>233</v>
      </c>
      <c r="X55" s="11">
        <v>3.83</v>
      </c>
      <c r="Y55" s="11"/>
      <c r="Z55" s="11" t="s">
        <v>233</v>
      </c>
      <c r="AA55" s="11">
        <v>2.97</v>
      </c>
    </row>
    <row r="56" spans="1:27" x14ac:dyDescent="0.2">
      <c r="A56" s="11" t="s">
        <v>173</v>
      </c>
      <c r="B56" s="11" t="s">
        <v>126</v>
      </c>
      <c r="C56" s="11">
        <v>8</v>
      </c>
      <c r="H56" s="30"/>
      <c r="K56" s="30"/>
      <c r="R56" s="11" t="s">
        <v>245</v>
      </c>
      <c r="S56" s="11">
        <v>11.5</v>
      </c>
      <c r="W56" s="11" t="s">
        <v>233</v>
      </c>
      <c r="X56" s="11">
        <v>4.78</v>
      </c>
      <c r="Y56" s="11"/>
      <c r="Z56" s="11" t="s">
        <v>233</v>
      </c>
      <c r="AA56" s="11">
        <v>3.83</v>
      </c>
    </row>
    <row r="57" spans="1:27" x14ac:dyDescent="0.2">
      <c r="A57" s="11" t="s">
        <v>173</v>
      </c>
      <c r="B57" s="11" t="s">
        <v>177</v>
      </c>
      <c r="C57" s="11">
        <v>8</v>
      </c>
      <c r="F57" s="4"/>
      <c r="H57" s="30"/>
      <c r="K57" s="30"/>
      <c r="R57" s="11" t="s">
        <v>245</v>
      </c>
      <c r="S57" s="11">
        <v>14.5</v>
      </c>
      <c r="W57" s="11" t="s">
        <v>233</v>
      </c>
      <c r="X57" s="11">
        <v>2.35</v>
      </c>
      <c r="Y57" s="11"/>
      <c r="Z57" s="11" t="s">
        <v>233</v>
      </c>
      <c r="AA57" s="11">
        <v>3.83</v>
      </c>
    </row>
    <row r="58" spans="1:27" x14ac:dyDescent="0.2">
      <c r="A58" s="11"/>
      <c r="B58" s="11"/>
      <c r="C58" s="11">
        <v>8</v>
      </c>
      <c r="F58" s="14" t="s">
        <v>151</v>
      </c>
      <c r="G58" s="14">
        <f>G26</f>
        <v>792</v>
      </c>
      <c r="H58" s="30"/>
      <c r="K58" s="30"/>
      <c r="R58" s="11" t="s">
        <v>245</v>
      </c>
      <c r="S58" s="11">
        <v>2.33</v>
      </c>
      <c r="W58" s="11" t="s">
        <v>233</v>
      </c>
      <c r="X58" s="11">
        <v>2.98</v>
      </c>
      <c r="Y58" s="11"/>
      <c r="Z58" s="11" t="s">
        <v>233</v>
      </c>
      <c r="AA58" s="11">
        <v>2.97</v>
      </c>
    </row>
    <row r="59" spans="1:27" x14ac:dyDescent="0.2">
      <c r="A59" s="11"/>
      <c r="B59" s="11"/>
      <c r="C59" s="11">
        <v>8</v>
      </c>
      <c r="F59" s="14" t="s">
        <v>152</v>
      </c>
      <c r="G59" s="14">
        <f>G33</f>
        <v>55</v>
      </c>
      <c r="H59" s="30"/>
      <c r="I59" s="30"/>
      <c r="J59" s="30"/>
      <c r="K59" s="30"/>
      <c r="R59" s="11" t="s">
        <v>245</v>
      </c>
      <c r="S59" s="11">
        <v>5.42</v>
      </c>
      <c r="W59" s="11" t="s">
        <v>233</v>
      </c>
      <c r="X59" s="11">
        <v>1.77</v>
      </c>
      <c r="Y59" s="11"/>
      <c r="Z59" s="11" t="s">
        <v>233</v>
      </c>
      <c r="AA59" s="11">
        <v>2.97</v>
      </c>
    </row>
    <row r="60" spans="1:27" x14ac:dyDescent="0.2">
      <c r="A60" s="11" t="s">
        <v>173</v>
      </c>
      <c r="B60" s="11" t="s">
        <v>126</v>
      </c>
      <c r="C60" s="11">
        <v>8</v>
      </c>
      <c r="F60" s="14" t="s">
        <v>144</v>
      </c>
      <c r="G60" s="14">
        <f>G55</f>
        <v>330</v>
      </c>
      <c r="H60" s="30"/>
      <c r="I60" s="30"/>
      <c r="J60" s="30"/>
      <c r="K60" s="30"/>
      <c r="R60" s="11" t="s">
        <v>245</v>
      </c>
      <c r="S60" s="11">
        <v>3.5</v>
      </c>
      <c r="W60" s="11" t="s">
        <v>233</v>
      </c>
      <c r="X60" s="11">
        <v>4.8600000000000003</v>
      </c>
      <c r="Y60" s="11"/>
      <c r="Z60" s="11" t="s">
        <v>233</v>
      </c>
      <c r="AA60" s="11">
        <v>4.55</v>
      </c>
    </row>
    <row r="61" spans="1:27" x14ac:dyDescent="0.2">
      <c r="F61" s="72" t="s">
        <v>7</v>
      </c>
      <c r="G61" s="15">
        <f>SUM(G58:G60)</f>
        <v>1177</v>
      </c>
      <c r="H61" s="30"/>
      <c r="I61" s="30"/>
      <c r="J61" s="30"/>
      <c r="K61" s="30"/>
      <c r="R61" s="11" t="s">
        <v>245</v>
      </c>
      <c r="S61" s="11">
        <v>32.06</v>
      </c>
      <c r="W61" s="11" t="s">
        <v>233</v>
      </c>
      <c r="X61" s="11">
        <v>2.35</v>
      </c>
      <c r="Y61" s="11"/>
      <c r="Z61" s="11" t="s">
        <v>233</v>
      </c>
      <c r="AA61" s="11">
        <v>6.67</v>
      </c>
    </row>
    <row r="62" spans="1:27" x14ac:dyDescent="0.2">
      <c r="H62" s="30"/>
      <c r="I62" s="30"/>
      <c r="J62" s="30"/>
      <c r="K62" s="30"/>
      <c r="R62" s="11" t="s">
        <v>245</v>
      </c>
      <c r="S62" s="11">
        <v>4.6900000000000004</v>
      </c>
      <c r="W62" s="11" t="s">
        <v>233</v>
      </c>
      <c r="X62" s="11">
        <v>1.83</v>
      </c>
      <c r="Y62" s="11"/>
      <c r="Z62" s="11" t="s">
        <v>233</v>
      </c>
      <c r="AA62" s="11">
        <v>2.98</v>
      </c>
    </row>
    <row r="63" spans="1:27" x14ac:dyDescent="0.2">
      <c r="H63" s="30"/>
      <c r="I63" s="30"/>
      <c r="J63" s="30"/>
      <c r="K63" s="30"/>
      <c r="R63" s="11" t="s">
        <v>245</v>
      </c>
      <c r="S63" s="11">
        <v>10.63</v>
      </c>
      <c r="W63" s="11" t="s">
        <v>233</v>
      </c>
      <c r="X63" s="11">
        <v>3.83</v>
      </c>
      <c r="Y63" s="11"/>
      <c r="Z63" s="11" t="s">
        <v>233</v>
      </c>
      <c r="AA63" s="11">
        <v>6.81</v>
      </c>
    </row>
    <row r="64" spans="1:27" x14ac:dyDescent="0.2">
      <c r="F64" t="s">
        <v>79</v>
      </c>
      <c r="H64" s="30"/>
      <c r="I64" s="30"/>
      <c r="J64" s="30"/>
      <c r="K64" s="30"/>
      <c r="R64" s="11" t="s">
        <v>245</v>
      </c>
      <c r="S64" s="11">
        <v>10.17</v>
      </c>
      <c r="W64" s="11" t="s">
        <v>233</v>
      </c>
      <c r="X64" s="11">
        <v>2.4300000000000002</v>
      </c>
      <c r="Y64" s="11"/>
      <c r="Z64" s="11" t="s">
        <v>233</v>
      </c>
      <c r="AA64" s="11">
        <v>4.42</v>
      </c>
    </row>
    <row r="65" spans="1:27" x14ac:dyDescent="0.2">
      <c r="F65" t="s">
        <v>114</v>
      </c>
      <c r="G65" t="s">
        <v>17</v>
      </c>
      <c r="H65" s="30"/>
      <c r="I65" s="30"/>
      <c r="J65" s="30"/>
      <c r="K65" s="30"/>
      <c r="R65" s="11" t="s">
        <v>245</v>
      </c>
      <c r="S65" s="11">
        <v>8.58</v>
      </c>
      <c r="W65" s="11" t="s">
        <v>233</v>
      </c>
      <c r="X65" s="11">
        <v>5.03</v>
      </c>
      <c r="Y65" s="11"/>
      <c r="Z65" s="11" t="s">
        <v>233</v>
      </c>
      <c r="AA65" s="11">
        <v>3.06</v>
      </c>
    </row>
    <row r="66" spans="1:27" x14ac:dyDescent="0.2">
      <c r="F66" s="11" t="s">
        <v>271</v>
      </c>
      <c r="G66" s="14">
        <v>390</v>
      </c>
      <c r="H66" s="30"/>
      <c r="I66" s="30"/>
      <c r="J66" s="30"/>
      <c r="K66" s="30"/>
      <c r="R66" s="11" t="s">
        <v>245</v>
      </c>
      <c r="S66" s="11">
        <v>26.88</v>
      </c>
      <c r="W66" s="11" t="s">
        <v>233</v>
      </c>
      <c r="X66" s="11">
        <v>2.98</v>
      </c>
      <c r="Y66" s="11"/>
      <c r="Z66" s="11" t="s">
        <v>233</v>
      </c>
      <c r="AA66" s="11">
        <v>1.1599999999999999</v>
      </c>
    </row>
    <row r="67" spans="1:27" x14ac:dyDescent="0.2">
      <c r="F67" s="11" t="s">
        <v>270</v>
      </c>
      <c r="G67" s="11">
        <v>437</v>
      </c>
      <c r="H67" s="30"/>
      <c r="I67" s="30"/>
      <c r="J67" s="30"/>
      <c r="K67" s="30"/>
      <c r="R67" s="11" t="s">
        <v>245</v>
      </c>
      <c r="S67" s="11">
        <v>14.88</v>
      </c>
      <c r="W67" s="11" t="s">
        <v>233</v>
      </c>
      <c r="X67" s="11">
        <v>1.94</v>
      </c>
      <c r="Y67" s="11"/>
      <c r="Z67" s="11" t="s">
        <v>233</v>
      </c>
      <c r="AA67" s="11">
        <v>3.15</v>
      </c>
    </row>
    <row r="68" spans="1:27" x14ac:dyDescent="0.2">
      <c r="F68" s="11" t="s">
        <v>269</v>
      </c>
      <c r="G68" s="11">
        <v>66</v>
      </c>
      <c r="H68" s="30"/>
      <c r="R68" s="11" t="s">
        <v>245</v>
      </c>
      <c r="S68" s="11">
        <v>27.12</v>
      </c>
      <c r="W68" s="56" t="s">
        <v>233</v>
      </c>
      <c r="X68" s="56">
        <v>3.15</v>
      </c>
      <c r="Y68" s="11"/>
      <c r="Z68" s="11" t="s">
        <v>233</v>
      </c>
      <c r="AA68" s="11">
        <v>4.21</v>
      </c>
    </row>
    <row r="69" spans="1:27" x14ac:dyDescent="0.2">
      <c r="F69" s="11" t="s">
        <v>268</v>
      </c>
      <c r="G69" s="11">
        <v>495</v>
      </c>
      <c r="H69" s="30"/>
      <c r="R69" s="11" t="s">
        <v>245</v>
      </c>
      <c r="S69" s="11">
        <v>14.4</v>
      </c>
      <c r="W69" s="56" t="s">
        <v>233</v>
      </c>
      <c r="X69" s="56">
        <v>2.2599999999999998</v>
      </c>
      <c r="Y69" s="11"/>
      <c r="Z69" s="11" t="s">
        <v>233</v>
      </c>
      <c r="AA69" s="11">
        <v>6.5</v>
      </c>
    </row>
    <row r="70" spans="1:27" x14ac:dyDescent="0.2">
      <c r="F70" s="11" t="s">
        <v>194</v>
      </c>
      <c r="G70" s="11"/>
      <c r="H70" s="30"/>
      <c r="R70" s="11" t="s">
        <v>245</v>
      </c>
      <c r="S70" s="11">
        <v>30.17</v>
      </c>
      <c r="W70" s="56" t="s">
        <v>233</v>
      </c>
      <c r="X70" s="56">
        <v>4.78</v>
      </c>
      <c r="Y70" s="11"/>
      <c r="Z70" s="11" t="s">
        <v>233</v>
      </c>
      <c r="AA70" s="11">
        <v>1.63</v>
      </c>
    </row>
    <row r="71" spans="1:27" x14ac:dyDescent="0.2">
      <c r="F71" s="11"/>
      <c r="G71" s="14">
        <f>SUM(G66:G70)</f>
        <v>1388</v>
      </c>
      <c r="H71" s="30"/>
      <c r="R71" s="11" t="s">
        <v>245</v>
      </c>
      <c r="S71" s="11">
        <v>7.73</v>
      </c>
      <c r="W71" s="11" t="s">
        <v>233</v>
      </c>
      <c r="X71" s="11">
        <v>1.94</v>
      </c>
      <c r="Y71" s="11"/>
      <c r="Z71" s="11"/>
      <c r="AA71" s="11"/>
    </row>
    <row r="72" spans="1:27" x14ac:dyDescent="0.2">
      <c r="F72" s="30"/>
      <c r="G72" s="25"/>
      <c r="H72" s="30"/>
      <c r="R72" s="14" t="s">
        <v>7</v>
      </c>
      <c r="S72" s="14">
        <f>SUM(S55:S71)</f>
        <v>241.54999999999998</v>
      </c>
      <c r="W72" s="14" t="s">
        <v>234</v>
      </c>
      <c r="X72" s="14"/>
      <c r="Y72" s="14"/>
      <c r="Z72" s="14"/>
      <c r="AA72" s="14">
        <f>SUM(AA8:AA70)+SUM(X8:X71)</f>
        <v>427.59000000000009</v>
      </c>
    </row>
    <row r="73" spans="1:27" x14ac:dyDescent="0.2">
      <c r="F73" s="56" t="s">
        <v>201</v>
      </c>
      <c r="G73" s="73"/>
      <c r="H73" s="30"/>
      <c r="R73" s="22" t="s">
        <v>162</v>
      </c>
      <c r="S73" s="15">
        <f>S72*1.1</f>
        <v>265.70499999999998</v>
      </c>
    </row>
    <row r="74" spans="1:27" x14ac:dyDescent="0.2">
      <c r="F74" s="56" t="s">
        <v>202</v>
      </c>
      <c r="G74" s="56">
        <v>51</v>
      </c>
      <c r="H74" s="30"/>
    </row>
    <row r="75" spans="1:27" x14ac:dyDescent="0.2">
      <c r="F75" s="56" t="s">
        <v>202</v>
      </c>
      <c r="G75" s="56">
        <v>512</v>
      </c>
      <c r="H75" s="30"/>
    </row>
    <row r="76" spans="1:27" x14ac:dyDescent="0.2">
      <c r="F76" s="56" t="s">
        <v>202</v>
      </c>
      <c r="G76" s="56">
        <v>149</v>
      </c>
      <c r="H76" s="30"/>
    </row>
    <row r="77" spans="1:27" x14ac:dyDescent="0.2">
      <c r="F77" s="65"/>
      <c r="G77" s="72">
        <f>SUM(G74:G76)</f>
        <v>712</v>
      </c>
      <c r="H77" s="30"/>
    </row>
    <row r="78" spans="1:27" s="74" customFormat="1" x14ac:dyDescent="0.2">
      <c r="H78" s="75"/>
      <c r="I78" s="75"/>
      <c r="J78" s="75"/>
      <c r="K78" s="75"/>
    </row>
    <row r="79" spans="1:27" s="74" customFormat="1" x14ac:dyDescent="0.2">
      <c r="A79" s="81" t="s">
        <v>186</v>
      </c>
      <c r="H79" s="75"/>
      <c r="I79" s="75"/>
      <c r="J79" s="75"/>
      <c r="K79" s="75"/>
    </row>
    <row r="80" spans="1:27" s="76" customFormat="1" x14ac:dyDescent="0.2">
      <c r="H80" s="65"/>
      <c r="I80" s="65"/>
      <c r="J80" s="65"/>
      <c r="K80" s="65"/>
      <c r="R80" s="86" t="s">
        <v>278</v>
      </c>
    </row>
    <row r="81" spans="1:26" x14ac:dyDescent="0.2">
      <c r="A81" s="14" t="s">
        <v>145</v>
      </c>
      <c r="B81" s="11" t="s">
        <v>54</v>
      </c>
      <c r="C81" s="11" t="s">
        <v>134</v>
      </c>
      <c r="D81" s="10" t="s">
        <v>181</v>
      </c>
      <c r="F81" s="14" t="s">
        <v>171</v>
      </c>
      <c r="G81" s="10" t="s">
        <v>54</v>
      </c>
      <c r="H81" s="10" t="s">
        <v>161</v>
      </c>
      <c r="I81" s="10" t="s">
        <v>162</v>
      </c>
      <c r="J81" s="63"/>
      <c r="K81" s="63"/>
      <c r="L81" s="26"/>
      <c r="R81" s="11" t="s">
        <v>279</v>
      </c>
      <c r="S81" s="11" t="s">
        <v>52</v>
      </c>
      <c r="T81" s="11" t="s">
        <v>280</v>
      </c>
      <c r="U81" s="11" t="s">
        <v>281</v>
      </c>
      <c r="V81" s="11" t="s">
        <v>217</v>
      </c>
      <c r="W81" s="11" t="s">
        <v>216</v>
      </c>
      <c r="X81" s="11" t="s">
        <v>282</v>
      </c>
      <c r="Y81" s="11" t="s">
        <v>283</v>
      </c>
      <c r="Z81" s="10" t="s">
        <v>161</v>
      </c>
    </row>
    <row r="82" spans="1:26" x14ac:dyDescent="0.2">
      <c r="A82" s="11" t="s">
        <v>128</v>
      </c>
      <c r="B82" s="11">
        <v>14</v>
      </c>
      <c r="C82" s="11">
        <v>24</v>
      </c>
      <c r="D82" s="11">
        <f>B82*C82</f>
        <v>336</v>
      </c>
      <c r="F82" s="10" t="s">
        <v>265</v>
      </c>
      <c r="G82" s="14">
        <v>50</v>
      </c>
      <c r="H82" s="10">
        <v>20</v>
      </c>
      <c r="I82" s="11">
        <f>G82*H82*1.1</f>
        <v>1100</v>
      </c>
      <c r="J82" s="30"/>
      <c r="K82" s="30"/>
      <c r="R82" s="11"/>
      <c r="S82" s="11"/>
      <c r="T82" s="11"/>
      <c r="U82" s="11"/>
      <c r="V82" s="11"/>
      <c r="W82" s="11"/>
      <c r="X82" s="11"/>
      <c r="Y82" s="11"/>
      <c r="Z82" s="11"/>
    </row>
    <row r="83" spans="1:26" x14ac:dyDescent="0.2">
      <c r="A83" s="11" t="s">
        <v>129</v>
      </c>
      <c r="B83" s="11">
        <v>2</v>
      </c>
      <c r="C83" s="11">
        <v>30</v>
      </c>
      <c r="D83" s="11">
        <f>C83*B83</f>
        <v>60</v>
      </c>
      <c r="F83" s="10" t="s">
        <v>237</v>
      </c>
      <c r="G83" s="14">
        <v>35</v>
      </c>
      <c r="H83" s="10">
        <v>10</v>
      </c>
      <c r="I83" s="11">
        <f>G83*H83*1.1</f>
        <v>385.00000000000006</v>
      </c>
      <c r="J83" s="30"/>
      <c r="K83" s="30"/>
      <c r="R83" s="11" t="s">
        <v>284</v>
      </c>
      <c r="S83" s="11">
        <v>101</v>
      </c>
      <c r="T83" s="11" t="s">
        <v>285</v>
      </c>
      <c r="U83" s="11"/>
      <c r="V83" s="11" t="s">
        <v>123</v>
      </c>
      <c r="W83" s="11" t="s">
        <v>286</v>
      </c>
      <c r="X83" s="11" t="s">
        <v>287</v>
      </c>
      <c r="Y83" s="11">
        <v>3</v>
      </c>
      <c r="Z83" s="11">
        <v>250</v>
      </c>
    </row>
    <row r="84" spans="1:26" x14ac:dyDescent="0.2">
      <c r="A84" s="11" t="s">
        <v>130</v>
      </c>
      <c r="B84" s="11">
        <v>2</v>
      </c>
      <c r="C84" s="11">
        <v>36</v>
      </c>
      <c r="D84" s="11">
        <f>C84*B84</f>
        <v>72</v>
      </c>
      <c r="F84" s="10" t="s">
        <v>170</v>
      </c>
      <c r="G84" s="14">
        <v>1</v>
      </c>
      <c r="H84" s="10">
        <v>800</v>
      </c>
      <c r="I84" s="11">
        <f>H84</f>
        <v>800</v>
      </c>
      <c r="J84" s="30"/>
      <c r="K84" s="30"/>
      <c r="R84" s="11" t="s">
        <v>288</v>
      </c>
      <c r="S84" s="11">
        <v>102</v>
      </c>
      <c r="T84" s="11" t="s">
        <v>289</v>
      </c>
      <c r="U84" s="11" t="s">
        <v>290</v>
      </c>
      <c r="V84" s="11" t="s">
        <v>291</v>
      </c>
      <c r="W84" s="11" t="s">
        <v>286</v>
      </c>
      <c r="X84" s="11" t="s">
        <v>292</v>
      </c>
      <c r="Y84" s="11">
        <v>1</v>
      </c>
      <c r="Z84" s="11">
        <v>125</v>
      </c>
    </row>
    <row r="85" spans="1:26" x14ac:dyDescent="0.2">
      <c r="A85" s="11" t="s">
        <v>131</v>
      </c>
      <c r="B85" s="11">
        <v>4</v>
      </c>
      <c r="C85" s="11">
        <f>14*3</f>
        <v>42</v>
      </c>
      <c r="D85" s="11">
        <f>C85*B85</f>
        <v>168</v>
      </c>
      <c r="F85" s="10" t="s">
        <v>168</v>
      </c>
      <c r="G85" s="14">
        <v>100</v>
      </c>
      <c r="H85" s="10">
        <v>8</v>
      </c>
      <c r="I85" s="11">
        <f>G85*H85*1.1</f>
        <v>880.00000000000011</v>
      </c>
      <c r="J85" s="30"/>
      <c r="K85" s="30"/>
      <c r="R85" s="11" t="s">
        <v>293</v>
      </c>
      <c r="S85" s="11">
        <v>103</v>
      </c>
      <c r="T85" s="11" t="s">
        <v>294</v>
      </c>
      <c r="U85" s="11" t="s">
        <v>290</v>
      </c>
      <c r="V85" s="11" t="s">
        <v>295</v>
      </c>
      <c r="W85" s="11" t="s">
        <v>286</v>
      </c>
      <c r="X85" s="11" t="s">
        <v>296</v>
      </c>
      <c r="Y85" s="11">
        <v>1</v>
      </c>
      <c r="Z85" s="11">
        <v>125</v>
      </c>
    </row>
    <row r="86" spans="1:26" x14ac:dyDescent="0.2">
      <c r="A86" s="11" t="s">
        <v>132</v>
      </c>
      <c r="B86" s="11">
        <v>9</v>
      </c>
      <c r="C86" s="11">
        <f>B86*3</f>
        <v>27</v>
      </c>
      <c r="D86" s="11">
        <f>C86*B86</f>
        <v>243</v>
      </c>
      <c r="F86" s="16" t="s">
        <v>169</v>
      </c>
      <c r="G86" s="22">
        <v>1</v>
      </c>
      <c r="H86" s="11"/>
      <c r="I86" s="11">
        <f>5168+545.7+441.12</f>
        <v>6154.82</v>
      </c>
      <c r="J86" s="30"/>
      <c r="K86" s="30"/>
      <c r="R86" s="11" t="s">
        <v>297</v>
      </c>
      <c r="S86" s="11">
        <v>104</v>
      </c>
      <c r="T86" s="11" t="s">
        <v>298</v>
      </c>
      <c r="U86" s="11" t="s">
        <v>290</v>
      </c>
      <c r="V86" s="11" t="s">
        <v>295</v>
      </c>
      <c r="W86" s="11" t="s">
        <v>286</v>
      </c>
      <c r="X86" s="11" t="s">
        <v>299</v>
      </c>
      <c r="Y86" s="11">
        <v>4</v>
      </c>
      <c r="Z86" s="11">
        <v>160</v>
      </c>
    </row>
    <row r="87" spans="1:26" x14ac:dyDescent="0.2">
      <c r="A87" s="14" t="s">
        <v>7</v>
      </c>
      <c r="B87" s="11">
        <f>SUM(B82:B86)</f>
        <v>31</v>
      </c>
      <c r="C87" s="11"/>
      <c r="D87" s="14">
        <f>SUM(D82:D86)</f>
        <v>879</v>
      </c>
      <c r="F87" s="73" t="s">
        <v>7</v>
      </c>
      <c r="G87" s="11"/>
      <c r="H87" s="11"/>
      <c r="I87" s="14">
        <f>SUM(I82:I86)</f>
        <v>9319.82</v>
      </c>
      <c r="J87" s="25"/>
      <c r="K87" s="25"/>
      <c r="R87" s="11" t="s">
        <v>300</v>
      </c>
      <c r="S87" s="11">
        <v>101</v>
      </c>
      <c r="T87" s="11" t="s">
        <v>285</v>
      </c>
      <c r="U87" s="11" t="s">
        <v>290</v>
      </c>
      <c r="V87" s="11" t="s">
        <v>291</v>
      </c>
      <c r="W87" s="11" t="s">
        <v>286</v>
      </c>
      <c r="X87" s="11" t="s">
        <v>301</v>
      </c>
      <c r="Y87" s="11">
        <v>1</v>
      </c>
      <c r="Z87" s="11">
        <v>125</v>
      </c>
    </row>
    <row r="88" spans="1:26" x14ac:dyDescent="0.2">
      <c r="I88" s="30"/>
      <c r="J88" s="30"/>
      <c r="K88" s="30"/>
      <c r="R88" s="21">
        <v>105</v>
      </c>
      <c r="S88" s="11">
        <v>105</v>
      </c>
      <c r="T88" s="11" t="s">
        <v>302</v>
      </c>
      <c r="U88" s="11"/>
      <c r="V88" s="11" t="s">
        <v>243</v>
      </c>
      <c r="W88" s="11" t="s">
        <v>286</v>
      </c>
      <c r="X88" s="11" t="s">
        <v>303</v>
      </c>
      <c r="Y88" s="11">
        <v>2</v>
      </c>
      <c r="Z88" s="11">
        <v>500</v>
      </c>
    </row>
    <row r="89" spans="1:26" x14ac:dyDescent="0.2">
      <c r="A89" s="14" t="s">
        <v>180</v>
      </c>
      <c r="B89" s="11" t="s">
        <v>54</v>
      </c>
      <c r="C89" s="11" t="s">
        <v>134</v>
      </c>
      <c r="D89" s="10" t="s">
        <v>181</v>
      </c>
      <c r="R89" s="21">
        <v>106</v>
      </c>
      <c r="S89" s="11">
        <v>105</v>
      </c>
      <c r="T89" s="11" t="s">
        <v>302</v>
      </c>
      <c r="U89" s="11" t="s">
        <v>290</v>
      </c>
      <c r="V89" s="11" t="s">
        <v>295</v>
      </c>
      <c r="W89" s="11" t="s">
        <v>286</v>
      </c>
      <c r="X89" s="11" t="s">
        <v>292</v>
      </c>
      <c r="Y89" s="11">
        <v>1</v>
      </c>
      <c r="Z89" s="11">
        <v>125</v>
      </c>
    </row>
    <row r="90" spans="1:26" x14ac:dyDescent="0.2">
      <c r="A90" s="10" t="s">
        <v>178</v>
      </c>
      <c r="B90" s="11">
        <v>14</v>
      </c>
      <c r="C90" s="11">
        <v>24</v>
      </c>
      <c r="D90" s="11">
        <f>B90*C90</f>
        <v>336</v>
      </c>
      <c r="F90" s="15" t="s">
        <v>12</v>
      </c>
      <c r="R90" t="s">
        <v>304</v>
      </c>
      <c r="Y90" s="11"/>
      <c r="Z90" s="11">
        <f>SUM(Z83:Z89)</f>
        <v>1410</v>
      </c>
    </row>
    <row r="91" spans="1:26" x14ac:dyDescent="0.2">
      <c r="A91" s="10" t="s">
        <v>179</v>
      </c>
      <c r="B91" s="11">
        <v>2</v>
      </c>
      <c r="C91" s="11">
        <v>36</v>
      </c>
      <c r="D91" s="11">
        <f>B91*C91</f>
        <v>72</v>
      </c>
      <c r="F91" s="14" t="s">
        <v>182</v>
      </c>
      <c r="Y91" s="10" t="s">
        <v>305</v>
      </c>
      <c r="Z91" s="11">
        <f>Z90*1.1</f>
        <v>1551.0000000000002</v>
      </c>
    </row>
    <row r="92" spans="1:26" x14ac:dyDescent="0.2">
      <c r="A92" s="14" t="s">
        <v>7</v>
      </c>
      <c r="B92" s="11">
        <f>SUM(B90:B91)</f>
        <v>16</v>
      </c>
      <c r="C92" s="11"/>
      <c r="D92" s="14">
        <f>SUM(D90:D91)</f>
        <v>408</v>
      </c>
      <c r="F92" s="14" t="s">
        <v>183</v>
      </c>
    </row>
    <row r="93" spans="1:26" x14ac:dyDescent="0.2">
      <c r="F93" s="14" t="s">
        <v>184</v>
      </c>
      <c r="G93" s="10" t="s">
        <v>54</v>
      </c>
      <c r="H93" s="10" t="s">
        <v>161</v>
      </c>
      <c r="I93" s="10" t="s">
        <v>162</v>
      </c>
      <c r="J93" s="63"/>
      <c r="K93" s="63"/>
    </row>
    <row r="94" spans="1:26" x14ac:dyDescent="0.2">
      <c r="A94" s="77" t="s">
        <v>148</v>
      </c>
      <c r="B94" s="11" t="s">
        <v>54</v>
      </c>
      <c r="C94" s="11" t="s">
        <v>134</v>
      </c>
      <c r="D94" s="10" t="s">
        <v>181</v>
      </c>
      <c r="F94" s="10" t="s">
        <v>163</v>
      </c>
      <c r="G94" s="10">
        <v>792</v>
      </c>
      <c r="H94" s="10">
        <v>1.25</v>
      </c>
      <c r="I94" s="11">
        <f>G94*H94*1.1</f>
        <v>1089</v>
      </c>
      <c r="J94" s="30"/>
      <c r="K94" s="30"/>
    </row>
    <row r="95" spans="1:26" x14ac:dyDescent="0.2">
      <c r="A95" s="77"/>
      <c r="B95" s="11"/>
      <c r="C95" s="11"/>
      <c r="D95" s="10"/>
      <c r="F95" s="10" t="s">
        <v>198</v>
      </c>
      <c r="G95" s="10">
        <v>100</v>
      </c>
      <c r="H95" s="10">
        <v>2</v>
      </c>
      <c r="I95" s="11">
        <f>G95*H95</f>
        <v>200</v>
      </c>
      <c r="J95" s="30"/>
      <c r="K95" s="30"/>
    </row>
    <row r="96" spans="1:26" x14ac:dyDescent="0.2">
      <c r="A96" s="66" t="s">
        <v>153</v>
      </c>
      <c r="B96" s="11">
        <v>14</v>
      </c>
      <c r="C96" s="70">
        <v>20</v>
      </c>
      <c r="D96" s="62">
        <f>B96*C96</f>
        <v>280</v>
      </c>
      <c r="F96" s="16" t="s">
        <v>156</v>
      </c>
      <c r="G96" s="11">
        <f>1+8+14+2+4</f>
        <v>29</v>
      </c>
      <c r="H96" s="11">
        <v>4</v>
      </c>
      <c r="I96" s="11">
        <f>G96*H96*1.1</f>
        <v>127.60000000000001</v>
      </c>
      <c r="J96" s="30"/>
      <c r="K96" s="30"/>
    </row>
    <row r="97" spans="1:18" x14ac:dyDescent="0.2">
      <c r="A97" s="66" t="s">
        <v>147</v>
      </c>
      <c r="B97" s="11">
        <v>30</v>
      </c>
      <c r="C97" s="70">
        <v>50</v>
      </c>
      <c r="D97" s="62">
        <f>B97*C97</f>
        <v>1500</v>
      </c>
      <c r="F97" s="16" t="s">
        <v>157</v>
      </c>
      <c r="G97" s="11">
        <f>7+24+25</f>
        <v>56</v>
      </c>
      <c r="H97" s="11">
        <v>5</v>
      </c>
      <c r="I97" s="11">
        <f>G97*H97*1.1</f>
        <v>308</v>
      </c>
      <c r="J97" s="30"/>
      <c r="K97" s="30"/>
    </row>
    <row r="98" spans="1:18" x14ac:dyDescent="0.2">
      <c r="A98" s="14" t="s">
        <v>7</v>
      </c>
      <c r="B98" s="11"/>
      <c r="C98" s="11"/>
      <c r="D98" s="71">
        <f>SUM(D96:D97)</f>
        <v>1780</v>
      </c>
      <c r="F98" s="16" t="s">
        <v>155</v>
      </c>
      <c r="G98" s="11">
        <f>1+1+2+2</f>
        <v>6</v>
      </c>
      <c r="H98" s="11">
        <v>5.5</v>
      </c>
      <c r="I98" s="11">
        <f>G98*H98*1.1</f>
        <v>36.300000000000004</v>
      </c>
      <c r="J98" s="30"/>
      <c r="K98" s="30"/>
    </row>
    <row r="99" spans="1:18" x14ac:dyDescent="0.2">
      <c r="F99" s="16" t="s">
        <v>164</v>
      </c>
      <c r="G99" s="11">
        <v>80</v>
      </c>
      <c r="H99" s="11">
        <v>3</v>
      </c>
      <c r="I99" s="10">
        <f>G99*H99*1.1</f>
        <v>264</v>
      </c>
      <c r="J99" s="63"/>
      <c r="K99" s="63"/>
      <c r="M99" s="11"/>
      <c r="N99" s="11" t="s">
        <v>451</v>
      </c>
      <c r="O99" s="11" t="s">
        <v>54</v>
      </c>
      <c r="P99" s="11"/>
      <c r="Q99" s="11" t="s">
        <v>453</v>
      </c>
      <c r="R99" s="11" t="s">
        <v>10</v>
      </c>
    </row>
    <row r="100" spans="1:18" x14ac:dyDescent="0.2">
      <c r="A100" s="14" t="s">
        <v>146</v>
      </c>
      <c r="B100" s="11" t="s">
        <v>54</v>
      </c>
      <c r="C100" s="11" t="s">
        <v>134</v>
      </c>
      <c r="D100" s="10" t="s">
        <v>181</v>
      </c>
      <c r="F100" s="16" t="s">
        <v>158</v>
      </c>
      <c r="G100" s="11">
        <v>792</v>
      </c>
      <c r="H100" s="11">
        <v>0.4</v>
      </c>
      <c r="I100" s="11">
        <f>G100*H100*1.1</f>
        <v>348.48</v>
      </c>
      <c r="J100" s="30"/>
      <c r="K100" s="30"/>
      <c r="M100" s="11" t="s">
        <v>449</v>
      </c>
      <c r="N100" s="11"/>
      <c r="O100" s="11"/>
      <c r="P100" s="11"/>
      <c r="Q100" s="11"/>
      <c r="R100" s="11"/>
    </row>
    <row r="101" spans="1:18" x14ac:dyDescent="0.2">
      <c r="A101" s="66" t="s">
        <v>135</v>
      </c>
      <c r="B101" s="10">
        <v>14</v>
      </c>
      <c r="C101" s="67">
        <v>137.94999999999999</v>
      </c>
      <c r="D101" s="69">
        <f>C101*B101</f>
        <v>1931.2999999999997</v>
      </c>
      <c r="F101" s="16" t="s">
        <v>165</v>
      </c>
      <c r="G101" s="11">
        <v>792</v>
      </c>
      <c r="H101" s="10" t="s">
        <v>166</v>
      </c>
      <c r="I101" s="10">
        <f>6*150</f>
        <v>900</v>
      </c>
      <c r="J101" s="63"/>
      <c r="K101" s="63"/>
      <c r="M101" s="11"/>
      <c r="N101" s="11">
        <v>28</v>
      </c>
      <c r="O101" s="11">
        <v>2</v>
      </c>
      <c r="P101" s="11"/>
      <c r="Q101" s="11">
        <v>7.9000000000000001E-2</v>
      </c>
      <c r="R101" s="11">
        <f>Q101*O101</f>
        <v>0.158</v>
      </c>
    </row>
    <row r="102" spans="1:18" x14ac:dyDescent="0.2">
      <c r="A102" s="66" t="s">
        <v>136</v>
      </c>
      <c r="B102" s="10">
        <v>14</v>
      </c>
      <c r="C102" s="67">
        <v>117.28</v>
      </c>
      <c r="D102" s="68">
        <f>B102*C102</f>
        <v>1641.92</v>
      </c>
      <c r="F102" s="16" t="s">
        <v>159</v>
      </c>
      <c r="G102" s="11">
        <f>4+11+10+12</f>
        <v>37</v>
      </c>
      <c r="H102" s="11">
        <v>3.9</v>
      </c>
      <c r="I102" s="11">
        <f>G102*H102*1.1</f>
        <v>158.72999999999999</v>
      </c>
      <c r="J102" s="30">
        <f>I94+I100+I101+I102</f>
        <v>2496.21</v>
      </c>
      <c r="K102" s="30"/>
      <c r="M102" s="11"/>
      <c r="N102" s="11">
        <v>24</v>
      </c>
      <c r="O102" s="11">
        <v>7</v>
      </c>
      <c r="P102" s="11"/>
      <c r="Q102" s="11">
        <v>5.8000000000000003E-2</v>
      </c>
      <c r="R102" s="11">
        <f t="shared" ref="R102:R108" si="0">Q102*O102</f>
        <v>0.40600000000000003</v>
      </c>
    </row>
    <row r="103" spans="1:18" x14ac:dyDescent="0.2">
      <c r="A103" s="66" t="s">
        <v>133</v>
      </c>
      <c r="B103" s="10">
        <v>1</v>
      </c>
      <c r="C103" s="67">
        <v>1000</v>
      </c>
      <c r="D103" s="68">
        <f>C103*B103</f>
        <v>1000</v>
      </c>
      <c r="F103" s="16" t="s">
        <v>154</v>
      </c>
      <c r="G103" s="11">
        <v>28</v>
      </c>
      <c r="H103" s="11">
        <v>8.5</v>
      </c>
      <c r="I103" s="11">
        <f>G103*H103*1.1</f>
        <v>261.8</v>
      </c>
      <c r="J103" s="30"/>
      <c r="K103" s="30"/>
      <c r="M103" s="11"/>
      <c r="N103" s="11">
        <v>20</v>
      </c>
      <c r="O103" s="11">
        <v>10</v>
      </c>
      <c r="P103" s="11"/>
      <c r="Q103" s="11">
        <v>0.04</v>
      </c>
      <c r="R103" s="11">
        <f t="shared" si="0"/>
        <v>0.4</v>
      </c>
    </row>
    <row r="104" spans="1:18" x14ac:dyDescent="0.2">
      <c r="A104" s="66" t="s">
        <v>137</v>
      </c>
      <c r="B104" s="10">
        <v>14</v>
      </c>
      <c r="C104" s="67">
        <v>50</v>
      </c>
      <c r="D104" s="68">
        <f>B104*C104</f>
        <v>700</v>
      </c>
      <c r="F104" s="16" t="s">
        <v>160</v>
      </c>
      <c r="G104" s="11"/>
      <c r="H104" s="11"/>
      <c r="I104" s="11">
        <v>400</v>
      </c>
      <c r="J104" s="30"/>
      <c r="K104" s="30"/>
      <c r="M104" s="11" t="s">
        <v>450</v>
      </c>
      <c r="N104" s="11"/>
      <c r="O104" s="11"/>
      <c r="P104" s="11"/>
      <c r="Q104" s="11"/>
      <c r="R104" s="11">
        <f t="shared" si="0"/>
        <v>0</v>
      </c>
    </row>
    <row r="105" spans="1:18" x14ac:dyDescent="0.2">
      <c r="A105" s="77" t="s">
        <v>7</v>
      </c>
      <c r="B105" s="11"/>
      <c r="C105" s="11"/>
      <c r="D105" s="71">
        <f>SUM(D101:D104)</f>
        <v>5273.2199999999993</v>
      </c>
      <c r="F105" s="73" t="s">
        <v>7</v>
      </c>
      <c r="G105" s="14"/>
      <c r="H105" s="14"/>
      <c r="I105" s="14">
        <f>SUM(I94:I104)</f>
        <v>4093.9100000000003</v>
      </c>
      <c r="J105" s="25"/>
      <c r="K105" s="25"/>
      <c r="M105" s="11" t="s">
        <v>454</v>
      </c>
      <c r="N105" s="11">
        <v>16</v>
      </c>
      <c r="O105" s="11">
        <v>12</v>
      </c>
      <c r="P105" s="11">
        <f>O105/3</f>
        <v>4</v>
      </c>
      <c r="Q105" s="11">
        <v>0.18099999999999999</v>
      </c>
      <c r="R105" s="11">
        <f t="shared" si="0"/>
        <v>2.1719999999999997</v>
      </c>
    </row>
    <row r="106" spans="1:18" x14ac:dyDescent="0.2">
      <c r="M106" s="11"/>
      <c r="N106" s="11">
        <v>14</v>
      </c>
      <c r="O106" s="11">
        <v>5</v>
      </c>
      <c r="P106" s="11">
        <v>2</v>
      </c>
      <c r="Q106" s="11">
        <v>0.13900000000000001</v>
      </c>
      <c r="R106" s="11">
        <f t="shared" si="0"/>
        <v>0.69500000000000006</v>
      </c>
    </row>
    <row r="107" spans="1:18" x14ac:dyDescent="0.2">
      <c r="F107" s="73" t="s">
        <v>167</v>
      </c>
      <c r="G107" s="10" t="s">
        <v>54</v>
      </c>
      <c r="H107" s="10" t="s">
        <v>161</v>
      </c>
      <c r="I107" s="10" t="s">
        <v>162</v>
      </c>
      <c r="J107" s="63"/>
      <c r="K107" s="63"/>
      <c r="M107" s="11"/>
      <c r="N107" s="11">
        <v>12</v>
      </c>
      <c r="O107" s="11">
        <v>15</v>
      </c>
      <c r="P107" s="11">
        <f>O107/3</f>
        <v>5</v>
      </c>
      <c r="Q107" s="11">
        <v>0.10199999999999999</v>
      </c>
      <c r="R107" s="11">
        <f t="shared" si="0"/>
        <v>1.5299999999999998</v>
      </c>
    </row>
    <row r="108" spans="1:18" x14ac:dyDescent="0.2">
      <c r="F108" s="73" t="s">
        <v>204</v>
      </c>
      <c r="G108" s="18">
        <f>(330*2+G58+G59)/36</f>
        <v>41.861111111111114</v>
      </c>
      <c r="H108" s="11">
        <v>8</v>
      </c>
      <c r="I108" s="19">
        <f>G108*H108*1.1</f>
        <v>368.37777777777785</v>
      </c>
      <c r="J108" s="82"/>
      <c r="K108" s="82"/>
      <c r="M108" s="11"/>
      <c r="N108" s="11">
        <v>10</v>
      </c>
      <c r="O108" s="11">
        <v>6</v>
      </c>
      <c r="P108" s="11">
        <f>O108/3</f>
        <v>2</v>
      </c>
      <c r="Q108" s="11">
        <v>7.0999999999999994E-2</v>
      </c>
      <c r="R108" s="11">
        <f t="shared" si="0"/>
        <v>0.42599999999999993</v>
      </c>
    </row>
    <row r="109" spans="1:18" x14ac:dyDescent="0.2">
      <c r="C109" t="s">
        <v>435</v>
      </c>
      <c r="F109" s="73" t="s">
        <v>203</v>
      </c>
      <c r="G109" s="18">
        <f>712/36</f>
        <v>19.777777777777779</v>
      </c>
      <c r="H109" s="11">
        <v>8</v>
      </c>
      <c r="I109" s="19">
        <f>G109*H109*1.1</f>
        <v>174.04444444444445</v>
      </c>
      <c r="J109" s="82"/>
      <c r="K109" s="82"/>
      <c r="M109" s="11"/>
      <c r="N109" s="11"/>
      <c r="O109" s="11"/>
      <c r="P109" s="11"/>
      <c r="Q109" s="11"/>
      <c r="R109" s="11">
        <f>SUM(R101:R108)</f>
        <v>5.786999999999999</v>
      </c>
    </row>
    <row r="110" spans="1:18" x14ac:dyDescent="0.2">
      <c r="F110" s="73" t="s">
        <v>7</v>
      </c>
      <c r="G110" s="83">
        <f>SUM(G108:G109)</f>
        <v>61.638888888888893</v>
      </c>
      <c r="H110" s="11"/>
      <c r="I110" s="19">
        <f>SUM(I108:I109)</f>
        <v>542.42222222222233</v>
      </c>
      <c r="J110" s="82"/>
      <c r="K110" s="82"/>
      <c r="M110" s="11"/>
      <c r="N110" s="11"/>
      <c r="O110" s="11"/>
      <c r="P110" s="11"/>
      <c r="Q110" s="11"/>
      <c r="R110" s="11">
        <f>R109*1.1</f>
        <v>6.3656999999999995</v>
      </c>
    </row>
    <row r="111" spans="1:18" x14ac:dyDescent="0.2">
      <c r="M111" s="11"/>
      <c r="N111" s="11"/>
      <c r="O111" s="11"/>
      <c r="P111" s="11"/>
      <c r="Q111" s="11"/>
      <c r="R111" s="11">
        <f>R110*100</f>
        <v>636.56999999999994</v>
      </c>
    </row>
    <row r="112" spans="1:18" x14ac:dyDescent="0.2">
      <c r="F112" s="73" t="s">
        <v>188</v>
      </c>
      <c r="G112" s="11"/>
      <c r="H112" s="11"/>
      <c r="I112" s="11"/>
      <c r="J112" s="30"/>
      <c r="K112" s="30"/>
      <c r="M112" s="11" t="s">
        <v>452</v>
      </c>
      <c r="N112" s="11"/>
      <c r="O112" s="11"/>
      <c r="P112" s="11"/>
      <c r="Q112" s="11"/>
      <c r="R112" s="11"/>
    </row>
    <row r="113" spans="4:18" x14ac:dyDescent="0.2">
      <c r="F113" s="73" t="s">
        <v>187</v>
      </c>
      <c r="G113" s="11">
        <v>19</v>
      </c>
      <c r="H113" s="11">
        <v>24</v>
      </c>
      <c r="I113" s="11">
        <f t="shared" ref="I113:I122" si="1">G113*H113</f>
        <v>456</v>
      </c>
      <c r="J113" s="30"/>
      <c r="K113" s="30">
        <f>130*6</f>
        <v>780</v>
      </c>
      <c r="M113" s="11" t="s">
        <v>455</v>
      </c>
      <c r="N113" s="11">
        <f>37+16</f>
        <v>53</v>
      </c>
      <c r="O113" s="11"/>
      <c r="P113" s="11"/>
      <c r="Q113" s="11"/>
      <c r="R113" s="11"/>
    </row>
    <row r="114" spans="4:18" x14ac:dyDescent="0.2">
      <c r="F114" s="73" t="s">
        <v>191</v>
      </c>
      <c r="G114" s="11">
        <v>28</v>
      </c>
      <c r="H114" s="11">
        <v>7</v>
      </c>
      <c r="I114" s="11">
        <f t="shared" si="1"/>
        <v>196</v>
      </c>
      <c r="J114" s="30"/>
      <c r="K114" s="30"/>
      <c r="M114" s="15" t="s">
        <v>456</v>
      </c>
      <c r="N114">
        <f>1350</f>
        <v>1350</v>
      </c>
    </row>
    <row r="115" spans="4:18" x14ac:dyDescent="0.2">
      <c r="F115" s="73" t="s">
        <v>192</v>
      </c>
      <c r="G115" s="11">
        <v>1</v>
      </c>
      <c r="H115" s="11">
        <v>5.5</v>
      </c>
      <c r="I115" s="11">
        <f t="shared" si="1"/>
        <v>5.5</v>
      </c>
      <c r="J115" s="30"/>
      <c r="K115" s="30"/>
      <c r="M115" s="15" t="s">
        <v>10</v>
      </c>
      <c r="N115">
        <f>800</f>
        <v>800</v>
      </c>
    </row>
    <row r="116" spans="4:18" x14ac:dyDescent="0.2">
      <c r="F116" s="73" t="s">
        <v>164</v>
      </c>
      <c r="G116" s="11">
        <f>13*5</f>
        <v>65</v>
      </c>
      <c r="H116" s="11">
        <v>3</v>
      </c>
      <c r="I116" s="11">
        <f t="shared" si="1"/>
        <v>195</v>
      </c>
      <c r="J116" s="30"/>
      <c r="K116" s="30"/>
      <c r="M116" s="72" t="s">
        <v>458</v>
      </c>
      <c r="N116">
        <v>511</v>
      </c>
    </row>
    <row r="117" spans="4:18" x14ac:dyDescent="0.2">
      <c r="F117" s="73" t="s">
        <v>189</v>
      </c>
      <c r="G117" s="11">
        <v>11</v>
      </c>
      <c r="H117" s="11">
        <v>25</v>
      </c>
      <c r="I117" s="11">
        <f t="shared" si="1"/>
        <v>275</v>
      </c>
      <c r="J117" s="30"/>
      <c r="K117" s="30"/>
      <c r="M117" s="72" t="s">
        <v>457</v>
      </c>
      <c r="N117">
        <f>578+296</f>
        <v>874</v>
      </c>
    </row>
    <row r="118" spans="4:18" x14ac:dyDescent="0.2">
      <c r="F118" s="73" t="s">
        <v>190</v>
      </c>
      <c r="G118" s="11">
        <v>24</v>
      </c>
      <c r="H118" s="11">
        <v>8.5</v>
      </c>
      <c r="I118" s="11">
        <f t="shared" si="1"/>
        <v>204</v>
      </c>
      <c r="J118" s="30"/>
      <c r="K118" s="30"/>
      <c r="M118" s="72" t="s">
        <v>9</v>
      </c>
      <c r="N118">
        <v>1250</v>
      </c>
    </row>
    <row r="119" spans="4:18" x14ac:dyDescent="0.2">
      <c r="F119" s="73" t="s">
        <v>196</v>
      </c>
      <c r="G119" s="11">
        <v>4</v>
      </c>
      <c r="H119" s="56">
        <v>100</v>
      </c>
      <c r="I119" s="11">
        <f t="shared" si="1"/>
        <v>400</v>
      </c>
      <c r="J119" s="30"/>
      <c r="K119" s="30"/>
      <c r="M119" s="72" t="s">
        <v>460</v>
      </c>
      <c r="N119">
        <v>715</v>
      </c>
      <c r="O119">
        <f>20*8*3</f>
        <v>480</v>
      </c>
    </row>
    <row r="120" spans="4:18" x14ac:dyDescent="0.2">
      <c r="F120" s="73" t="s">
        <v>195</v>
      </c>
      <c r="G120" s="56">
        <v>11</v>
      </c>
      <c r="H120" s="56">
        <v>90</v>
      </c>
      <c r="I120" s="56">
        <f t="shared" si="1"/>
        <v>990</v>
      </c>
      <c r="J120" s="65"/>
      <c r="K120" s="65"/>
      <c r="M120" s="72" t="s">
        <v>8</v>
      </c>
      <c r="N120">
        <v>2000</v>
      </c>
    </row>
    <row r="121" spans="4:18" x14ac:dyDescent="0.2">
      <c r="D121" s="4"/>
      <c r="F121" s="73" t="s">
        <v>252</v>
      </c>
      <c r="G121" s="56">
        <v>29</v>
      </c>
      <c r="H121" s="56">
        <v>80</v>
      </c>
      <c r="I121" s="56">
        <f t="shared" si="1"/>
        <v>2320</v>
      </c>
      <c r="J121" s="65"/>
      <c r="K121" s="65"/>
      <c r="M121" s="72" t="s">
        <v>459</v>
      </c>
      <c r="N121">
        <v>100</v>
      </c>
    </row>
    <row r="122" spans="4:18" x14ac:dyDescent="0.2">
      <c r="F122" s="73" t="s">
        <v>193</v>
      </c>
      <c r="G122" s="10">
        <v>4</v>
      </c>
      <c r="H122" s="56">
        <v>18</v>
      </c>
      <c r="I122" s="56">
        <f t="shared" si="1"/>
        <v>72</v>
      </c>
      <c r="J122" s="65"/>
      <c r="K122" s="65"/>
      <c r="M122" s="72" t="s">
        <v>7</v>
      </c>
      <c r="N122" s="4">
        <f>SUM(N114:N121)</f>
        <v>7600</v>
      </c>
    </row>
    <row r="123" spans="4:18" x14ac:dyDescent="0.2">
      <c r="F123" s="14" t="s">
        <v>197</v>
      </c>
      <c r="G123" s="14"/>
      <c r="H123" s="11"/>
      <c r="I123" s="11">
        <v>500</v>
      </c>
      <c r="J123" s="30"/>
      <c r="K123" s="30"/>
    </row>
    <row r="124" spans="4:18" x14ac:dyDescent="0.2">
      <c r="F124" s="14" t="s">
        <v>7</v>
      </c>
      <c r="G124" s="11"/>
      <c r="H124" s="11"/>
      <c r="I124" s="14">
        <f>SUM(I113:I123)</f>
        <v>5613.5</v>
      </c>
      <c r="J124" s="25"/>
      <c r="K124" s="25"/>
    </row>
    <row r="125" spans="4:18" x14ac:dyDescent="0.2">
      <c r="F125" s="30"/>
      <c r="G125" s="30"/>
      <c r="H125" s="30"/>
      <c r="I125" s="30"/>
      <c r="J125" s="30"/>
      <c r="K125" s="30"/>
    </row>
    <row r="126" spans="4:18" x14ac:dyDescent="0.2">
      <c r="F126" s="14" t="s">
        <v>60</v>
      </c>
      <c r="G126" s="14"/>
      <c r="H126" s="11"/>
      <c r="I126" s="11">
        <f>I113+I114+I115+I116+I117+I118+I121</f>
        <v>3651.5</v>
      </c>
      <c r="J126" s="30"/>
      <c r="K126" s="30"/>
    </row>
    <row r="127" spans="4:18" x14ac:dyDescent="0.2">
      <c r="F127" s="14" t="s">
        <v>11</v>
      </c>
      <c r="G127" s="14"/>
      <c r="H127" s="11"/>
      <c r="I127" s="11">
        <f>I119+I120+I122+I123</f>
        <v>1962</v>
      </c>
      <c r="J127" s="30"/>
      <c r="K127" s="30"/>
    </row>
    <row r="128" spans="4:18" x14ac:dyDescent="0.2">
      <c r="F128" s="25"/>
      <c r="G128" s="25"/>
      <c r="H128" s="30"/>
      <c r="I128" s="30"/>
      <c r="J128" s="30"/>
      <c r="K128" s="30"/>
    </row>
    <row r="129" spans="6:11" x14ac:dyDescent="0.2">
      <c r="F129" s="30"/>
      <c r="G129" s="30"/>
      <c r="H129" s="30"/>
      <c r="I129" s="30"/>
      <c r="J129" s="30"/>
      <c r="K129" s="30"/>
    </row>
    <row r="130" spans="6:11" x14ac:dyDescent="0.2">
      <c r="F130" t="s">
        <v>417</v>
      </c>
      <c r="G130">
        <f>(162+223+172+20+67+179+65+13)*1.1</f>
        <v>991.10000000000014</v>
      </c>
    </row>
  </sheetData>
  <pageMargins left="0.7" right="0.7" top="0.75" bottom="0.75" header="0.3" footer="0.3"/>
  <pageSetup paperSize="3" scale="52" fitToWidth="2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Proforma</vt:lpstr>
      <vt:lpstr>Budget Final</vt:lpstr>
      <vt:lpstr>Schedule</vt:lpstr>
      <vt:lpstr>Material Takeoff</vt:lpstr>
      <vt:lpstr>'Material Takeoff'!Baseboard_Schedule_1</vt:lpstr>
      <vt:lpstr>'Material Takeoff'!Ceiling_Schedule_1</vt:lpstr>
      <vt:lpstr>'Material Takeoff'!Countertop_Material_Takeoff_1</vt:lpstr>
      <vt:lpstr>'Material Takeoff'!Curtain_Panel_Material_Takeoff_1</vt:lpstr>
      <vt:lpstr>'Material Takeoff'!Door_Schedule</vt:lpstr>
      <vt:lpstr>'Material Takeoff'!Floor_and_Deck_Schedule</vt:lpstr>
      <vt:lpstr>'Material Takeoff'!Mullion_Schedule</vt:lpstr>
      <vt:lpstr>'Material Takeoff'!Mullion_Schedule_1</vt:lpstr>
      <vt:lpstr>'Material Takeoff'!New_Wall_Material_Takeoff_1</vt:lpstr>
      <vt:lpstr>'Budget Final'!Print_Area</vt:lpstr>
      <vt:lpstr>'Material Takeoff'!Railing_Schedule</vt:lpstr>
      <vt:lpstr>'Material Takeoff'!Roof_Schedule_1</vt:lpstr>
      <vt:lpstr>'Material Takeoff'!Structural_Beam_Framing_Schedule</vt:lpstr>
      <vt:lpstr>'Material Takeoff'!Structural_Column_Schedule_1</vt:lpstr>
      <vt:lpstr>'Material Takeoff'!Window_Schedule</vt:lpstr>
    </vt:vector>
  </TitlesOfParts>
  <Company>Maxwell &amp; Associates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Zeke Freeman</cp:lastModifiedBy>
  <cp:lastPrinted>2012-07-04T03:31:16Z</cp:lastPrinted>
  <dcterms:created xsi:type="dcterms:W3CDTF">2002-09-03T03:09:55Z</dcterms:created>
  <dcterms:modified xsi:type="dcterms:W3CDTF">2014-05-21T20:57:17Z</dcterms:modified>
</cp:coreProperties>
</file>